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14. BMT 2020\24. Transparencia\6.2 Plan de Gasto Publico\01. Planes de acción por dependencia\2017\Seguimiento\"/>
    </mc:Choice>
  </mc:AlternateContent>
  <bookViews>
    <workbookView xWindow="0" yWindow="0" windowWidth="21600" windowHeight="9135" tabRatio="496" activeTab="2"/>
  </bookViews>
  <sheets>
    <sheet name="INSTRUCTIVO" sheetId="3" r:id="rId1"/>
    <sheet name="01. Plan de accion SARECC (2)" sheetId="6" state="hidden" r:id="rId2"/>
    <sheet name="01. Plan de accion SARECC" sheetId="5" r:id="rId3"/>
    <sheet name="Hoja1" sheetId="7" state="hidden" r:id="rId4"/>
    <sheet name="listas" sheetId="2" state="hidden" r:id="rId5"/>
  </sheets>
  <externalReferences>
    <externalReference r:id="rId6"/>
  </externalReferences>
  <definedNames>
    <definedName name="_xlnm._FilterDatabase" localSheetId="2" hidden="1">'01. Plan de accion SARECC'!$A$16:$Q$17</definedName>
    <definedName name="_xlnm._FilterDatabase" localSheetId="1" hidden="1">'01. Plan de accion SARECC (2)'!$A$4:$P$5</definedName>
    <definedName name="_xlnm._FilterDatabase" localSheetId="0" hidden="1">INSTRUCTIVO!$B$6:$O$12</definedName>
    <definedName name="_xlnm.Print_Area" localSheetId="2">'01. Plan de accion SARECC'!$A$1:$W$119</definedName>
    <definedName name="_xlnm.Print_Area" localSheetId="1">'01. Plan de accion SARECC (2)'!$A$1:$P$23</definedName>
    <definedName name="_xlnm.Print_Area" localSheetId="0">INSTRUCTIVO!$A$1:$P$18</definedName>
    <definedName name="_xlnm.Print_Titles" localSheetId="2">'01. Plan de accion SARECC'!$16:$17</definedName>
    <definedName name="_xlnm.Print_Titles" localSheetId="1">'01. Plan de accion SARECC (2)'!$4:$5</definedName>
  </definedNames>
  <calcPr calcId="152511"/>
</workbook>
</file>

<file path=xl/calcChain.xml><?xml version="1.0" encoding="utf-8"?>
<calcChain xmlns="http://schemas.openxmlformats.org/spreadsheetml/2006/main">
  <c r="U112" i="5" l="1"/>
  <c r="P112" i="5"/>
  <c r="U83" i="5"/>
  <c r="O83" i="5"/>
  <c r="N19" i="5" l="1"/>
  <c r="U82" i="5" l="1"/>
  <c r="O82" i="5"/>
  <c r="O85" i="5"/>
  <c r="T31" i="5" l="1"/>
  <c r="T73" i="5"/>
  <c r="T61" i="5"/>
  <c r="V107" i="5" l="1"/>
  <c r="N73" i="5"/>
  <c r="N86" i="5" s="1"/>
  <c r="U81" i="5"/>
  <c r="U86" i="5" s="1"/>
  <c r="O81" i="5"/>
  <c r="T67" i="5"/>
  <c r="N67" i="5"/>
  <c r="T58" i="5"/>
  <c r="N58" i="5"/>
  <c r="N57" i="5"/>
  <c r="T56" i="5"/>
  <c r="O42" i="5"/>
  <c r="O43" i="5"/>
  <c r="N42" i="5" l="1"/>
  <c r="N31" i="5" l="1"/>
  <c r="N26" i="5"/>
  <c r="T26" i="5"/>
  <c r="V62" i="5" l="1"/>
  <c r="T86" i="5" l="1"/>
  <c r="V103" i="5" l="1"/>
  <c r="T45" i="5" l="1"/>
  <c r="U43" i="5"/>
  <c r="U42" i="5"/>
  <c r="U68" i="5" s="1"/>
  <c r="V61" i="5" l="1"/>
  <c r="V85" i="5"/>
  <c r="V84" i="5"/>
  <c r="V83" i="5"/>
  <c r="V82" i="5"/>
  <c r="V81" i="5"/>
  <c r="V80" i="5"/>
  <c r="V79" i="5"/>
  <c r="V78" i="5"/>
  <c r="V77" i="5"/>
  <c r="V76" i="5"/>
  <c r="V75" i="5"/>
  <c r="V74" i="5"/>
  <c r="V73" i="5"/>
  <c r="V72" i="5"/>
  <c r="V71" i="5"/>
  <c r="V70" i="5"/>
  <c r="V64" i="5" l="1"/>
  <c r="V65" i="5"/>
  <c r="V63" i="5"/>
  <c r="V56" i="5" l="1"/>
  <c r="V57" i="5"/>
  <c r="V58" i="5"/>
  <c r="V66" i="5"/>
  <c r="V55" i="5"/>
  <c r="V54" i="5"/>
  <c r="V52" i="5"/>
  <c r="V68" i="5" s="1"/>
  <c r="V29" i="5" l="1"/>
  <c r="V104" i="5" l="1"/>
  <c r="E7" i="7" l="1"/>
  <c r="D7" i="7"/>
  <c r="B7" i="7"/>
  <c r="E6" i="7"/>
  <c r="D6" i="7"/>
  <c r="O73" i="5" l="1"/>
  <c r="O86" i="5" s="1"/>
  <c r="T64" i="5"/>
  <c r="N64" i="5"/>
  <c r="O41" i="5"/>
  <c r="O68" i="5" s="1"/>
  <c r="N45" i="5" l="1"/>
  <c r="N61" i="5" l="1"/>
  <c r="F44" i="5" l="1"/>
  <c r="N56" i="5" l="1"/>
  <c r="T57" i="5" l="1"/>
  <c r="T68" i="5" s="1"/>
  <c r="N40" i="5" l="1"/>
  <c r="N54" i="5"/>
  <c r="N20" i="5"/>
  <c r="T18" i="5"/>
  <c r="N18" i="5"/>
  <c r="N29" i="5" l="1"/>
  <c r="N68" i="5"/>
  <c r="V86" i="5"/>
  <c r="O29" i="5" l="1"/>
  <c r="F68" i="5" l="1"/>
  <c r="T19" i="5" l="1"/>
  <c r="T104" i="5" l="1"/>
  <c r="U29" i="5"/>
  <c r="U108" i="5" l="1"/>
  <c r="T29" i="5" l="1"/>
  <c r="T112" i="5" s="1"/>
  <c r="E22" i="6" l="1"/>
  <c r="N21" i="6"/>
  <c r="M19" i="6"/>
  <c r="E16" i="6"/>
  <c r="M13" i="6"/>
  <c r="N16" i="6"/>
  <c r="N8" i="6"/>
  <c r="E8" i="6"/>
  <c r="M6" i="6"/>
  <c r="M8" i="6" l="1"/>
  <c r="M16" i="6"/>
  <c r="N22" i="6"/>
  <c r="M22" i="6"/>
  <c r="P104" i="5" l="1"/>
  <c r="F104" i="5" l="1"/>
  <c r="F110" i="5"/>
  <c r="F29" i="5" l="1"/>
  <c r="N104" i="5" l="1"/>
  <c r="O112" i="5" s="1"/>
  <c r="O104" i="5" l="1"/>
  <c r="F86" i="5"/>
  <c r="F112" i="5" l="1"/>
  <c r="P110" i="5"/>
  <c r="O108" i="5" l="1"/>
  <c r="V108" i="5" s="1"/>
  <c r="V110" i="5" s="1"/>
  <c r="V112" i="5" s="1"/>
</calcChain>
</file>

<file path=xl/comments1.xml><?xml version="1.0" encoding="utf-8"?>
<comments xmlns="http://schemas.openxmlformats.org/spreadsheetml/2006/main">
  <authors>
    <author>Amanda Pedraza</author>
    <author>Elsa Lucia Trujillo</author>
    <author>Mario Helberto Leal Noriega</author>
  </authors>
  <commentList>
    <comment ref="I5" authorId="0" shapeId="0">
      <text>
        <r>
          <rPr>
            <sz val="9"/>
            <color indexed="81"/>
            <rFont val="Tahoma"/>
            <family val="2"/>
          </rPr>
          <t>AÑO/MES/DIA</t>
        </r>
      </text>
    </comment>
    <comment ref="J5" authorId="0" shapeId="0">
      <text>
        <r>
          <rPr>
            <sz val="9"/>
            <color indexed="81"/>
            <rFont val="Tahoma"/>
            <family val="2"/>
          </rPr>
          <t>AÑO/MES/DIA</t>
        </r>
      </text>
    </comment>
    <comment ref="M19" authorId="1" shapeId="0">
      <text>
        <r>
          <rPr>
            <b/>
            <sz val="9"/>
            <color indexed="81"/>
            <rFont val="Tahoma"/>
            <family val="2"/>
          </rPr>
          <t>Elsa Lucia Trujillo:</t>
        </r>
        <r>
          <rPr>
            <sz val="9"/>
            <color indexed="81"/>
            <rFont val="Tahoma"/>
            <family val="2"/>
          </rPr>
          <t xml:space="preserve">
IDIGER 2017
Carlos Lozano </t>
        </r>
      </text>
    </comment>
    <comment ref="N20" authorId="2" shapeId="0">
      <text>
        <r>
          <rPr>
            <b/>
            <sz val="9"/>
            <color indexed="81"/>
            <rFont val="Tahoma"/>
            <family val="2"/>
          </rPr>
          <t>Mario Helberto Leal Noriega:</t>
        </r>
        <r>
          <rPr>
            <sz val="9"/>
            <color indexed="81"/>
            <rFont val="Tahoma"/>
            <family val="2"/>
          </rPr>
          <t xml:space="preserve">
Fondiger 2017</t>
        </r>
      </text>
    </comment>
    <comment ref="N21" authorId="1" shapeId="0">
      <text>
        <r>
          <rPr>
            <b/>
            <sz val="9"/>
            <color indexed="81"/>
            <rFont val="Tahoma"/>
            <family val="2"/>
          </rPr>
          <t>Elsa Lucia Trujillo:</t>
        </r>
        <r>
          <rPr>
            <sz val="9"/>
            <color indexed="81"/>
            <rFont val="Tahoma"/>
            <family val="2"/>
          </rPr>
          <t xml:space="preserve">
FONDIGER 2017 
$32.000.000</t>
        </r>
      </text>
    </comment>
    <comment ref="N22" authorId="2" shapeId="0">
      <text>
        <r>
          <rPr>
            <b/>
            <sz val="9"/>
            <color indexed="81"/>
            <rFont val="Tahoma"/>
            <family val="2"/>
          </rPr>
          <t>Mario Helberto Leal Noriega:</t>
        </r>
        <r>
          <rPr>
            <sz val="9"/>
            <color indexed="81"/>
            <rFont val="Tahoma"/>
            <family val="2"/>
          </rPr>
          <t xml:space="preserve">
Entre recursos Fondiger 2016 y 2017 son 2'732.109.000</t>
        </r>
      </text>
    </comment>
  </commentList>
</comments>
</file>

<file path=xl/comments2.xml><?xml version="1.0" encoding="utf-8"?>
<comments xmlns="http://schemas.openxmlformats.org/spreadsheetml/2006/main">
  <authors>
    <author>Amanda Pedraza</author>
    <author>Elsa Lucia Trujillo</author>
    <author>Lina Maria Hernandez Ortiz</author>
    <author>Mario Helberto Leal Noriega</author>
  </authors>
  <commentList>
    <comment ref="J17" authorId="0" shapeId="0">
      <text>
        <r>
          <rPr>
            <sz val="9"/>
            <color indexed="81"/>
            <rFont val="Tahoma"/>
            <family val="2"/>
          </rPr>
          <t>AÑO/MES/DIA</t>
        </r>
      </text>
    </comment>
    <comment ref="K17" authorId="0" shapeId="0">
      <text>
        <r>
          <rPr>
            <sz val="9"/>
            <color indexed="81"/>
            <rFont val="Tahoma"/>
            <family val="2"/>
          </rPr>
          <t>AÑO/MES/DIA</t>
        </r>
      </text>
    </comment>
    <comment ref="N18" authorId="1" shapeId="0">
      <text>
        <r>
          <rPr>
            <b/>
            <sz val="9"/>
            <color indexed="81"/>
            <rFont val="Tahoma"/>
            <family val="2"/>
          </rPr>
          <t>Elsa Lucia Trujillo:</t>
        </r>
        <r>
          <rPr>
            <sz val="9"/>
            <color indexed="81"/>
            <rFont val="Tahoma"/>
            <family val="2"/>
          </rPr>
          <t xml:space="preserve">
Rodrigo 
Angélica
Se ajustó el ppto. </t>
        </r>
      </text>
    </comment>
    <comment ref="T18" authorId="1" shapeId="0">
      <text>
        <r>
          <rPr>
            <b/>
            <sz val="9"/>
            <color indexed="81"/>
            <rFont val="Tahoma"/>
            <family val="2"/>
          </rPr>
          <t>Elsa Lucia Trujillo:</t>
        </r>
        <r>
          <rPr>
            <sz val="9"/>
            <color indexed="81"/>
            <rFont val="Tahoma"/>
            <family val="2"/>
          </rPr>
          <t xml:space="preserve">
Angelica Monsalve
Rodrigo Suárez</t>
        </r>
      </text>
    </comment>
    <comment ref="N19" authorId="1" shapeId="0">
      <text>
        <r>
          <rPr>
            <b/>
            <sz val="9"/>
            <color indexed="81"/>
            <rFont val="Tahoma"/>
            <family val="2"/>
          </rPr>
          <t>Elsa Lucia Trujillo:</t>
        </r>
        <r>
          <rPr>
            <sz val="9"/>
            <color indexed="81"/>
            <rFont val="Tahoma"/>
            <family val="2"/>
          </rPr>
          <t xml:space="preserve">
Wilson Molina 
Sergio Ramírez
Se ajustó el ppto. </t>
        </r>
      </text>
    </comment>
    <comment ref="T19" authorId="1" shapeId="0">
      <text>
        <r>
          <rPr>
            <b/>
            <sz val="9"/>
            <color indexed="81"/>
            <rFont val="Tahoma"/>
            <family val="2"/>
          </rPr>
          <t>Elsa Lucia Trujillo:</t>
        </r>
        <r>
          <rPr>
            <sz val="9"/>
            <color indexed="81"/>
            <rFont val="Tahoma"/>
            <family val="2"/>
          </rPr>
          <t xml:space="preserve">
Wilson Molina 
Sergio Ramírez
</t>
        </r>
      </text>
    </comment>
    <comment ref="N20" authorId="1" shapeId="0">
      <text>
        <r>
          <rPr>
            <b/>
            <sz val="9"/>
            <color indexed="81"/>
            <rFont val="Tahoma"/>
            <family val="2"/>
          </rPr>
          <t>Elsa Lucia Trujillo:</t>
        </r>
        <r>
          <rPr>
            <sz val="9"/>
            <color indexed="81"/>
            <rFont val="Tahoma"/>
            <family val="2"/>
          </rPr>
          <t xml:space="preserve">
Myriam Molina </t>
        </r>
      </text>
    </comment>
    <comment ref="T20" authorId="1" shapeId="0">
      <text>
        <r>
          <rPr>
            <b/>
            <sz val="9"/>
            <color indexed="81"/>
            <rFont val="Tahoma"/>
            <family val="2"/>
          </rPr>
          <t>Elsa Lucia Trujillo:</t>
        </r>
        <r>
          <rPr>
            <sz val="9"/>
            <color indexed="81"/>
            <rFont val="Tahoma"/>
            <family val="2"/>
          </rPr>
          <t xml:space="preserve">
Myriam Molina </t>
        </r>
      </text>
    </comment>
    <comment ref="G21" authorId="2" shapeId="0">
      <text>
        <r>
          <rPr>
            <b/>
            <sz val="9"/>
            <color indexed="81"/>
            <rFont val="Tahoma"/>
            <family val="2"/>
          </rPr>
          <t>Lina Maria Hernandez Ortiz:</t>
        </r>
        <r>
          <rPr>
            <sz val="9"/>
            <color indexed="81"/>
            <rFont val="Tahoma"/>
            <family val="2"/>
          </rPr>
          <t xml:space="preserve">
Lina Maria Hernandez Ortiz:
LMHO: 
Escenarios. Realizar la evaluación de analisis global en temporalidad. Cambio la dinamicas..impacto de los procesos de renovacion urbana.
Cuales son los indicadores ...bases de datos...que información se puede conocer.... indicadores...quien debe hacer. 
Gestión Local.....Taller de divulgación......
POT-Entrega lo historico a cada doliente: ...Indicadores se dio cuenta , 
Cada doliente CT, DI: Administrativo: Cuantos..a quien? , 
Tecnico: Tipificar desde el tema Técnico-   tipificación. definir SIG como lo debe hacer. Catalo
SIG: Gustavo se trabajaria desde SIG ..Estructura normalizada. 
SIRE- Subir la plataforma....Organizar la información</t>
        </r>
      </text>
    </comment>
    <comment ref="N21" authorId="1" shapeId="0">
      <text>
        <r>
          <rPr>
            <b/>
            <sz val="9"/>
            <color indexed="81"/>
            <rFont val="Tahoma"/>
            <family val="2"/>
          </rPr>
          <t>Elsa Lucia Trujillo:</t>
        </r>
        <r>
          <rPr>
            <sz val="9"/>
            <color indexed="81"/>
            <rFont val="Tahoma"/>
            <family val="2"/>
          </rPr>
          <t xml:space="preserve">
Laura Neira</t>
        </r>
      </text>
    </comment>
    <comment ref="T21" authorId="1" shapeId="0">
      <text>
        <r>
          <rPr>
            <b/>
            <sz val="9"/>
            <color indexed="81"/>
            <rFont val="Tahoma"/>
            <family val="2"/>
          </rPr>
          <t>Elsa Lucia Trujillo:</t>
        </r>
        <r>
          <rPr>
            <sz val="9"/>
            <color indexed="81"/>
            <rFont val="Tahoma"/>
            <family val="2"/>
          </rPr>
          <t xml:space="preserve">
Laura Neira </t>
        </r>
      </text>
    </comment>
    <comment ref="N26" authorId="1" shapeId="0">
      <text>
        <r>
          <rPr>
            <b/>
            <sz val="9"/>
            <color indexed="81"/>
            <rFont val="Tahoma"/>
            <family val="2"/>
          </rPr>
          <t>Elsa Lucia Trujillo:</t>
        </r>
        <r>
          <rPr>
            <sz val="9"/>
            <color indexed="81"/>
            <rFont val="Tahoma"/>
            <family val="2"/>
          </rPr>
          <t xml:space="preserve">
Universidad de la Salle 
Diana López
</t>
        </r>
      </text>
    </comment>
    <comment ref="T26" authorId="1" shapeId="0">
      <text>
        <r>
          <rPr>
            <b/>
            <sz val="9"/>
            <color indexed="81"/>
            <rFont val="Tahoma"/>
            <family val="2"/>
          </rPr>
          <t>Elsa Lucia Trujillo:</t>
        </r>
        <r>
          <rPr>
            <sz val="9"/>
            <color indexed="81"/>
            <rFont val="Tahoma"/>
            <family val="2"/>
          </rPr>
          <t xml:space="preserve">
Universidad de la Salle 
Diana López
</t>
        </r>
      </text>
    </comment>
    <comment ref="N31" authorId="1" shapeId="0">
      <text>
        <r>
          <rPr>
            <b/>
            <sz val="9"/>
            <color indexed="81"/>
            <rFont val="Tahoma"/>
            <family val="2"/>
          </rPr>
          <t>Elsa Lucia Trujillo:</t>
        </r>
        <r>
          <rPr>
            <sz val="9"/>
            <color indexed="81"/>
            <rFont val="Tahoma"/>
            <family val="2"/>
          </rPr>
          <t xml:space="preserve">
Contratos: 
Yuddy Ramírez $30.000.000
César Peña $20.533.333
Yenny Rios $14.000.000</t>
        </r>
      </text>
    </comment>
    <comment ref="T31" authorId="1" shapeId="0">
      <text>
        <r>
          <rPr>
            <b/>
            <sz val="9"/>
            <color indexed="81"/>
            <rFont val="Tahoma"/>
            <family val="2"/>
          </rPr>
          <t>Elsa Lucia Trujillo:</t>
        </r>
        <r>
          <rPr>
            <sz val="9"/>
            <color indexed="81"/>
            <rFont val="Tahoma"/>
            <family val="2"/>
          </rPr>
          <t xml:space="preserve">
Contratos: 
Yuddy Ramírez $30.000.000
César Peña $20.533.333
Yenny Rios $14.000.000</t>
        </r>
      </text>
    </comment>
    <comment ref="N40" authorId="1" shapeId="0">
      <text>
        <r>
          <rPr>
            <b/>
            <sz val="9"/>
            <color indexed="81"/>
            <rFont val="Tahoma"/>
            <family val="2"/>
          </rPr>
          <t>Elsa Lucia Trujillo:</t>
        </r>
        <r>
          <rPr>
            <sz val="9"/>
            <color indexed="81"/>
            <rFont val="Tahoma"/>
            <family val="2"/>
          </rPr>
          <t xml:space="preserve">
Se ajusto el ppto. </t>
        </r>
      </text>
    </comment>
    <comment ref="N42" authorId="1" shapeId="0">
      <text>
        <r>
          <rPr>
            <b/>
            <sz val="9"/>
            <color indexed="81"/>
            <rFont val="Tahoma"/>
            <family val="2"/>
          </rPr>
          <t>Elsa Lucia Trujillo:</t>
        </r>
        <r>
          <rPr>
            <sz val="9"/>
            <color indexed="81"/>
            <rFont val="Tahoma"/>
            <family val="2"/>
          </rPr>
          <t xml:space="preserve">
Valmore y Profesional nuevo </t>
        </r>
      </text>
    </comment>
    <comment ref="O42" authorId="1" shapeId="0">
      <text>
        <r>
          <rPr>
            <b/>
            <sz val="9"/>
            <color indexed="81"/>
            <rFont val="Tahoma"/>
            <family val="2"/>
          </rPr>
          <t>Elsa Lucia Trujillo:</t>
        </r>
        <r>
          <rPr>
            <sz val="9"/>
            <color indexed="81"/>
            <rFont val="Tahoma"/>
            <family val="2"/>
          </rPr>
          <t xml:space="preserve">
FONDIGER 2016 $620.003.947 
FONDIGER 2017 $82.449.150
</t>
        </r>
      </text>
    </comment>
    <comment ref="U42" authorId="1" shapeId="0">
      <text>
        <r>
          <rPr>
            <b/>
            <sz val="9"/>
            <color indexed="81"/>
            <rFont val="Tahoma"/>
            <family val="2"/>
          </rPr>
          <t>Elsa Lucia Trujillo:</t>
        </r>
        <r>
          <rPr>
            <sz val="9"/>
            <color indexed="81"/>
            <rFont val="Tahoma"/>
            <family val="2"/>
          </rPr>
          <t xml:space="preserve">
FONDIGER 2016 $620.003.947 
FONDIGER 2017
$82.449.150</t>
        </r>
      </text>
    </comment>
    <comment ref="O43" authorId="1" shapeId="0">
      <text>
        <r>
          <rPr>
            <b/>
            <sz val="9"/>
            <color indexed="81"/>
            <rFont val="Tahoma"/>
            <family val="2"/>
          </rPr>
          <t xml:space="preserve">Elsa Lucia Trujillo:
</t>
        </r>
        <r>
          <rPr>
            <sz val="9"/>
            <color indexed="81"/>
            <rFont val="Tahoma"/>
            <family val="2"/>
          </rPr>
          <t>FONDIGER 2016</t>
        </r>
        <r>
          <rPr>
            <b/>
            <sz val="9"/>
            <color indexed="81"/>
            <rFont val="Tahoma"/>
            <family val="2"/>
          </rPr>
          <t xml:space="preserve">
</t>
        </r>
        <r>
          <rPr>
            <sz val="9"/>
            <color indexed="81"/>
            <rFont val="Tahoma"/>
            <family val="2"/>
          </rPr>
          <t xml:space="preserve">Personal $229.339.000 
FONDIGER 2017
Interventoria $65 millones </t>
        </r>
      </text>
    </comment>
    <comment ref="O44" authorId="1" shapeId="0">
      <text>
        <r>
          <rPr>
            <b/>
            <sz val="9"/>
            <color indexed="81"/>
            <rFont val="Tahoma"/>
            <family val="2"/>
          </rPr>
          <t>Elsa Lucia Trujillo:</t>
        </r>
        <r>
          <rPr>
            <sz val="9"/>
            <color indexed="81"/>
            <rFont val="Tahoma"/>
            <family val="2"/>
          </rPr>
          <t xml:space="preserve">
FONDIGER 2017</t>
        </r>
      </text>
    </comment>
    <comment ref="O45" authorId="1" shapeId="0">
      <text>
        <r>
          <rPr>
            <b/>
            <sz val="9"/>
            <color indexed="81"/>
            <rFont val="Tahoma"/>
            <family val="2"/>
          </rPr>
          <t>Elsa Lucia Trujillo:</t>
        </r>
        <r>
          <rPr>
            <sz val="9"/>
            <color indexed="81"/>
            <rFont val="Tahoma"/>
            <family val="2"/>
          </rPr>
          <t xml:space="preserve">
FONDIGER 2017</t>
        </r>
      </text>
    </comment>
    <comment ref="O46" authorId="1" shapeId="0">
      <text>
        <r>
          <rPr>
            <b/>
            <sz val="9"/>
            <color indexed="81"/>
            <rFont val="Tahoma"/>
            <family val="2"/>
          </rPr>
          <t>Elsa Lucia Trujillo:</t>
        </r>
        <r>
          <rPr>
            <sz val="9"/>
            <color indexed="81"/>
            <rFont val="Tahoma"/>
            <family val="2"/>
          </rPr>
          <t xml:space="preserve">
FONDIGER 2017</t>
        </r>
      </text>
    </comment>
    <comment ref="N64" authorId="1" shapeId="0">
      <text>
        <r>
          <rPr>
            <b/>
            <sz val="9"/>
            <color indexed="81"/>
            <rFont val="Tahoma"/>
            <family val="2"/>
          </rPr>
          <t>Elsa Lucia Trujillo:</t>
        </r>
        <r>
          <rPr>
            <sz val="9"/>
            <color indexed="81"/>
            <rFont val="Tahoma"/>
            <family val="2"/>
          </rPr>
          <t xml:space="preserve">
4 Contratistas $6.420. por 10 meses 
Personal planta 
3 profesionales especializados 222 grado 23
2  profesionales 219 grado 12
</t>
        </r>
      </text>
    </comment>
    <comment ref="N70" authorId="3" shapeId="0">
      <text>
        <r>
          <rPr>
            <b/>
            <sz val="9"/>
            <color indexed="81"/>
            <rFont val="Tahoma"/>
            <family val="2"/>
          </rPr>
          <t>Mario Helberto Leal Noriega:</t>
        </r>
        <r>
          <rPr>
            <sz val="9"/>
            <color indexed="81"/>
            <rFont val="Tahoma"/>
            <family val="2"/>
          </rPr>
          <t xml:space="preserve">
Recursos Idiger 2017
Maria Teresa Martinez </t>
        </r>
      </text>
    </comment>
    <comment ref="N71" authorId="3" shapeId="0">
      <text>
        <r>
          <rPr>
            <b/>
            <sz val="9"/>
            <color indexed="81"/>
            <rFont val="Tahoma"/>
            <family val="2"/>
          </rPr>
          <t>Mario Helberto Leal Noriega:</t>
        </r>
        <r>
          <rPr>
            <sz val="9"/>
            <color indexed="81"/>
            <rFont val="Tahoma"/>
            <family val="2"/>
          </rPr>
          <t xml:space="preserve">
Recursos Idiger 2017
Desarrollador SAB
Leonardo Montes</t>
        </r>
      </text>
    </comment>
    <comment ref="O72" authorId="3" shapeId="0">
      <text>
        <r>
          <rPr>
            <b/>
            <sz val="9"/>
            <color indexed="81"/>
            <rFont val="Tahoma"/>
            <family val="2"/>
          </rPr>
          <t>Mario Helberto Leal Noriega:</t>
        </r>
        <r>
          <rPr>
            <sz val="9"/>
            <color indexed="81"/>
            <rFont val="Tahoma"/>
            <family val="2"/>
          </rPr>
          <t xml:space="preserve">
Recursos Fondiger 2017</t>
        </r>
      </text>
    </comment>
    <comment ref="O73" authorId="1" shapeId="0">
      <text>
        <r>
          <rPr>
            <b/>
            <sz val="9"/>
            <color indexed="81"/>
            <rFont val="Tahoma"/>
            <family val="2"/>
          </rPr>
          <t>Elsa Lucia Trujillo:</t>
        </r>
        <r>
          <rPr>
            <sz val="9"/>
            <color indexed="81"/>
            <rFont val="Tahoma"/>
            <family val="2"/>
          </rPr>
          <t xml:space="preserve">
FONDIGER 2017</t>
        </r>
      </text>
    </comment>
    <comment ref="N74" authorId="3" shapeId="0">
      <text>
        <r>
          <rPr>
            <b/>
            <sz val="9"/>
            <color indexed="81"/>
            <rFont val="Tahoma"/>
            <family val="2"/>
          </rPr>
          <t>Mario Helberto Leal Noriega:</t>
        </r>
        <r>
          <rPr>
            <sz val="9"/>
            <color indexed="81"/>
            <rFont val="Tahoma"/>
            <family val="2"/>
          </rPr>
          <t xml:space="preserve">
IDIGER 2017</t>
        </r>
      </text>
    </comment>
    <comment ref="N76" authorId="1" shapeId="0">
      <text>
        <r>
          <rPr>
            <b/>
            <sz val="9"/>
            <color indexed="81"/>
            <rFont val="Tahoma"/>
            <family val="2"/>
          </rPr>
          <t>Elsa Lucia Trujillo:</t>
        </r>
        <r>
          <rPr>
            <sz val="9"/>
            <color indexed="81"/>
            <rFont val="Tahoma"/>
            <family val="2"/>
          </rPr>
          <t xml:space="preserve">
IDIGER 2017
Carlos Lozano </t>
        </r>
      </text>
    </comment>
    <comment ref="O80" authorId="3" shapeId="0">
      <text>
        <r>
          <rPr>
            <b/>
            <sz val="9"/>
            <color indexed="81"/>
            <rFont val="Tahoma"/>
            <family val="2"/>
          </rPr>
          <t>Mario Helberto Leal Noriega:</t>
        </r>
        <r>
          <rPr>
            <sz val="9"/>
            <color indexed="81"/>
            <rFont val="Tahoma"/>
            <family val="2"/>
          </rPr>
          <t xml:space="preserve">
Recursos Fondiger 2017</t>
        </r>
      </text>
    </comment>
    <comment ref="N81" authorId="3" shapeId="0">
      <text>
        <r>
          <rPr>
            <b/>
            <sz val="9"/>
            <color indexed="81"/>
            <rFont val="Tahoma"/>
            <family val="2"/>
          </rPr>
          <t>Mario Helberto Leal Noriega:</t>
        </r>
        <r>
          <rPr>
            <sz val="9"/>
            <color indexed="81"/>
            <rFont val="Tahoma"/>
            <family val="2"/>
          </rPr>
          <t xml:space="preserve">
IDIGER 2017
Guillermo Olaya </t>
        </r>
      </text>
    </comment>
    <comment ref="O81" authorId="1" shapeId="0">
      <text>
        <r>
          <rPr>
            <sz val="9"/>
            <color indexed="81"/>
            <rFont val="Tahoma"/>
            <family val="2"/>
          </rPr>
          <t xml:space="preserve">FONDIGER
2017 
$157.289.440
2016 
$723.229.320
</t>
        </r>
      </text>
    </comment>
    <comment ref="O82" authorId="1" shapeId="0">
      <text>
        <r>
          <rPr>
            <sz val="9"/>
            <color indexed="81"/>
            <rFont val="Tahoma"/>
            <family val="2"/>
          </rPr>
          <t>FONDIGER 2017</t>
        </r>
      </text>
    </comment>
    <comment ref="O83" authorId="1" shapeId="0">
      <text>
        <r>
          <rPr>
            <b/>
            <sz val="9"/>
            <color indexed="81"/>
            <rFont val="Tahoma"/>
            <family val="2"/>
          </rPr>
          <t>Elsa Lucia Trujillo:</t>
        </r>
        <r>
          <rPr>
            <sz val="9"/>
            <color indexed="81"/>
            <rFont val="Tahoma"/>
            <family val="2"/>
          </rPr>
          <t xml:space="preserve">
FONDIGER 2017</t>
        </r>
      </text>
    </comment>
    <comment ref="O84" authorId="3" shapeId="0">
      <text>
        <r>
          <rPr>
            <b/>
            <sz val="9"/>
            <color indexed="81"/>
            <rFont val="Tahoma"/>
            <family val="2"/>
          </rPr>
          <t>Mario Helberto Leal Noriega:</t>
        </r>
        <r>
          <rPr>
            <sz val="9"/>
            <color indexed="81"/>
            <rFont val="Tahoma"/>
            <family val="2"/>
          </rPr>
          <t xml:space="preserve">
Fondiger 2017</t>
        </r>
      </text>
    </comment>
    <comment ref="O85" authorId="1" shapeId="0">
      <text>
        <r>
          <rPr>
            <b/>
            <sz val="9"/>
            <color indexed="81"/>
            <rFont val="Tahoma"/>
            <family val="2"/>
          </rPr>
          <t>Elsa Lucia Trujillo:</t>
        </r>
        <r>
          <rPr>
            <sz val="9"/>
            <color indexed="81"/>
            <rFont val="Tahoma"/>
            <family val="2"/>
          </rPr>
          <t xml:space="preserve">
FONDIGER 2017 
$32.000.000</t>
        </r>
      </text>
    </comment>
    <comment ref="O86" authorId="3" shapeId="0">
      <text>
        <r>
          <rPr>
            <b/>
            <sz val="9"/>
            <color indexed="81"/>
            <rFont val="Tahoma"/>
            <family val="2"/>
          </rPr>
          <t>Mario Helberto Leal Noriega:</t>
        </r>
        <r>
          <rPr>
            <sz val="9"/>
            <color indexed="81"/>
            <rFont val="Tahoma"/>
            <family val="2"/>
          </rPr>
          <t xml:space="preserve">
Entre recursos Fondiger 2016 y 2017 son 2'732.109.000</t>
        </r>
      </text>
    </comment>
    <comment ref="G95" authorId="1" shapeId="0">
      <text>
        <r>
          <rPr>
            <b/>
            <sz val="9"/>
            <color indexed="81"/>
            <rFont val="Tahoma"/>
            <family val="2"/>
          </rPr>
          <t>Elsa Lucia Trujillo:</t>
        </r>
        <r>
          <rPr>
            <sz val="9"/>
            <color indexed="81"/>
            <rFont val="Tahoma"/>
            <family val="2"/>
          </rPr>
          <t xml:space="preserve">
enfocado a la atención a los requerimientos de las entidades de control
(hallazgos) </t>
        </r>
      </text>
    </comment>
  </commentList>
</comments>
</file>

<file path=xl/sharedStrings.xml><?xml version="1.0" encoding="utf-8"?>
<sst xmlns="http://schemas.openxmlformats.org/spreadsheetml/2006/main" count="655" uniqueCount="469">
  <si>
    <t>PLAN DE ACCIÓN</t>
  </si>
  <si>
    <t>CODIGO:</t>
  </si>
  <si>
    <t>PLE-FT-15</t>
  </si>
  <si>
    <t>VERSIÓN:</t>
  </si>
  <si>
    <t>Instituto Distrital de Gestión de Riesgos y Cambio Climatico - IDIGER</t>
  </si>
  <si>
    <t>FECHA DE ACTUALIZAIÓN:</t>
  </si>
  <si>
    <t>1. INFORMACIÓN  RELEVANTE  PARA LA FORMULACIÓN DEL PLAN DE ACCIÓN</t>
  </si>
  <si>
    <t>1.2. PLAN DE DESARROLLO:</t>
  </si>
  <si>
    <t>1.3. VIGENCIA DEL PLAN  DE DESARROLLO:</t>
  </si>
  <si>
    <t>1.4. PILAR /EJE</t>
  </si>
  <si>
    <t>1.5. PROGRAMA PDD:</t>
  </si>
  <si>
    <t>1.6. PROYECTO DE ESTRATEGICO:</t>
  </si>
  <si>
    <t>1.7.PROYECTO DE INVERSIÓN:</t>
  </si>
  <si>
    <t>1.8.  METAS A LA CUAL APORTA:</t>
  </si>
  <si>
    <t>1.9. INDICADOR ASOCIADO</t>
  </si>
  <si>
    <t>1.10. GRUPO O AREA QUE DESARROLLA EL  PLAN DE ACCIÓN:</t>
  </si>
  <si>
    <t>1.11. VIGENCIA DEL PLAN DE ACCIÒN:</t>
  </si>
  <si>
    <t>1.12 SECTOR</t>
  </si>
  <si>
    <t>2.13. OBJETIVO ESTRATEGICO DE LA ENTIDAD:</t>
  </si>
  <si>
    <t xml:space="preserve">3. FORMULACIÓN DEL PLAN DE ACCIÓN </t>
  </si>
  <si>
    <t xml:space="preserve">3.1. No </t>
  </si>
  <si>
    <t>3.3. 
PESO DE LA ACTIVIDAD</t>
  </si>
  <si>
    <t>3.4 ACTIVIDAD</t>
  </si>
  <si>
    <t>3.5. META</t>
  </si>
  <si>
    <t>INDICADOR</t>
  </si>
  <si>
    <t>UNIDAD DE MEDIDA</t>
  </si>
  <si>
    <t>RECURSOS</t>
  </si>
  <si>
    <t>DEPENDENCIAS RESPONSABLES</t>
  </si>
  <si>
    <t>FECHA INICIO</t>
  </si>
  <si>
    <t>FECHA FINAL</t>
  </si>
  <si>
    <t>IDIGER</t>
  </si>
  <si>
    <t>FONDIGER</t>
  </si>
  <si>
    <t>SUBTOTAL</t>
  </si>
  <si>
    <t>TOTAL</t>
  </si>
  <si>
    <t>Plan de Desarrollo "Bogota Mejor para Todos"</t>
  </si>
  <si>
    <t xml:space="preserve">Eje/pilar: </t>
  </si>
  <si>
    <t>No 1 Pilar Igualdad de Calidad de Vida</t>
  </si>
  <si>
    <t>No 7 Eje transversal Gobierno Legítimo, fortalecimiento local y eficiencia</t>
  </si>
  <si>
    <t xml:space="preserve">Programa: </t>
  </si>
  <si>
    <t>No 04 Familias protegidas y adaptadas al cambio climático</t>
  </si>
  <si>
    <t>No 42 Transparencia, gestión pública y servicio a la ciudadanía</t>
  </si>
  <si>
    <t>Proyecto estratégico:</t>
  </si>
  <si>
    <t>No 110 Reducción de condiciones de amenaza y vulnerabilidad de los ciudadanos</t>
  </si>
  <si>
    <t>No 185 Fortalecimiento a la gestión pública efectiva y eficiente</t>
  </si>
  <si>
    <t>Proyecto de Inversion</t>
  </si>
  <si>
    <t>Proyecto No 1172 Conocimiento del riesgo y efectos del cambio climático</t>
  </si>
  <si>
    <t>Proyecto No 1158 Reducción del riesgo y adaptación al cambio climático</t>
  </si>
  <si>
    <t>Proyecto No 1178 Fortalecimiento del manejo de emergencias y desastres</t>
  </si>
  <si>
    <t>Proyecto No 1166 Consolidación de la gestión pública eficiente del IDIGER, como entidad coordinadora del SDGR-CC</t>
  </si>
  <si>
    <t>INSTRUCTIVO DEL PLAN DE ACCIÓN</t>
  </si>
  <si>
    <t>Sector</t>
  </si>
  <si>
    <t>No 10 Ambiente</t>
  </si>
  <si>
    <t>1.9. INDICADOR ASOCIADO PDD</t>
  </si>
  <si>
    <t>1.11. VIGENCIA DEL PLAN DE ACCIÓN:</t>
  </si>
  <si>
    <t>Vigencia</t>
  </si>
  <si>
    <t xml:space="preserve">Mantener 6  escenarios actualizados que contribuyan a fortalecer el conocimiento de riesgo y efectos del cambio climático en el Distrito Capital </t>
  </si>
  <si>
    <t xml:space="preserve">Actualizar 4 planos normativos con la  Zonificación de Amenazas para el Plan de Ordenamiento Territorial </t>
  </si>
  <si>
    <t xml:space="preserve">Elaborar 9 documentos de estudios  y/o diseños de obras de Reducción de Riesgo para el Distrito Capital </t>
  </si>
  <si>
    <t>Emitir 2500 Documentos Técnicos  de amenaza y/o riesgo  a través de Conceptos  y/o Diagnósticos Técnicos</t>
  </si>
  <si>
    <t>Diseñar, instrumentar y administrar 1 Sistema de Alerta que  aborde  condiciones meteorológicas, hidrológicas y geotécnicas</t>
  </si>
  <si>
    <t>Reasentar 286 familias localizadas en zonas de riesgo no mitigable.</t>
  </si>
  <si>
    <t>Construir 16 obras de mitigación para la reducción del riesgo</t>
  </si>
  <si>
    <t xml:space="preserve">Beneficiar  2.000.000 de habitantes a través de estrategias de participación, capacitación, educación y comunicación </t>
  </si>
  <si>
    <t>Desarrollar e implementar 100% de la  Estrategia Distrital de Respuesta a Emergencias mediante la elaboración de documentos herramientas, instrumentos y guías para el manejo de emergencias y asesorando al 100% de las entidades del marco de actuación en los procesos de formulación, implementación y actualización de las Estrategias Institucionales de Respuesta. (EIR)</t>
  </si>
  <si>
    <t>Capacitar 30.000 personas en acciones para  el manejo de emergencias mediante el desarrollo de herramientas para capacitaciones virtuales en aglomeraciones, transporte vertical, EIR, Planes de Contingencia,  Primer respondiente y  simulacros y la realizacion de 4 simulacros distritales frente a la ocurrencia de un evento de gran magnitud.</t>
  </si>
  <si>
    <t>Implementar y operar 1 Centro Distrital Logístico y de Reserva y la  Central de información y telecomunicaciones del IDIGER (CITEL)</t>
  </si>
  <si>
    <t>Asesorar y/o conceptuar 6.000 Planes De Contingencia para aglomeraciones de público de media y alta complejidad.</t>
  </si>
  <si>
    <t>Realizar 12.000 Visitas de verificación de sistemas de transporte vertical y puertas eléctricas</t>
  </si>
  <si>
    <t>Garantizar la coordinación del  100% de las emergencias en el marco de la Estrategia Distrital de Respuesta a Emergencias</t>
  </si>
  <si>
    <t>Formular e implementar el 100% de los planes de trabajo definidos para el fortalecimiento de la función administrativa y el desarrollo institucional.</t>
  </si>
  <si>
    <t>Implementar y mantener el 100% de la eficiencia en la provisión de bienes y servicios de soporte a todas las áreas que conforman la Entidad.</t>
  </si>
  <si>
    <t>Implementar y mantener el Sistema Integrado de Gestión del IDIGER.</t>
  </si>
  <si>
    <t>Mantener al 100% del funcionamiento y seguridad de los servicios y sistemas de información, infraestructura de T.I., instrumentación y telecomunicaciones de la entidad.</t>
  </si>
  <si>
    <t>2016 - 2020</t>
  </si>
  <si>
    <t>Subdirección de Análisis de Riesgos y Efectos de Cambio Climático</t>
  </si>
  <si>
    <t>Subdirección de Resiliencia y Coordinación de Emergencias</t>
  </si>
  <si>
    <t>Subdirección de participación Para la Gestión de Riesgos y Adaptación al Cambio Climático</t>
  </si>
  <si>
    <t>Oficina Asesora Jurídica</t>
  </si>
  <si>
    <t>Oficina Asesora Planeación</t>
  </si>
  <si>
    <t>Oficina de Control Interno</t>
  </si>
  <si>
    <t xml:space="preserve">Oficina de Tecnologías de la Información y las Comunicaciones </t>
  </si>
  <si>
    <t>Dirección General</t>
  </si>
  <si>
    <t>Subdirección Corporativa y Asuntos Disciplinarios -</t>
  </si>
  <si>
    <t>3.7 UNIDAD DE MEDIDA</t>
  </si>
  <si>
    <t>3.8 RECURSOS</t>
  </si>
  <si>
    <t>3.9 DEPENDENCIAS RESPONSABLES</t>
  </si>
  <si>
    <t>3.3. PESO DE LA ACTIVIDAD</t>
  </si>
  <si>
    <t>Determine el peso porcentual que tiene cada actividad sobre el 100% que debe cumplir la actividad propuesta; recuerde que siempre existirá una actividad que identifique el punto crítico del producto; es decir, la actividad que mayor peso deberá tener y que definir tanto la calidad del producto como el mayor avance en el desarrollo del producto.</t>
  </si>
  <si>
    <t xml:space="preserve">3.3. PRODUCTO O RESULTADO ESPERADO </t>
  </si>
  <si>
    <t>Determine la fecha en que se dará inicio al desarrollo de la actividad propuesta
Determine la fecha en que se finalizará el desarrollo de la actividad propuesta</t>
  </si>
  <si>
    <t>Incluya información del producto esperado con definición de atributos.</t>
  </si>
  <si>
    <t>Especifique el nombre del Objetivo Estratégico en el que se ubica el Componente del Proyecto de Inversión, de acuerdo a las líneas funcionales establecidas en la Entidad.</t>
  </si>
  <si>
    <t>Indique el sector al que pertenece la entidad.</t>
  </si>
  <si>
    <t xml:space="preserve">3. COMPONENTE </t>
  </si>
  <si>
    <t>En este campo debe registrar los componentes que se encuentran establecidos en su proyecto de inversión. Asi mismo, se pueden registrar otros componentes que hagan parte de funciones pare que no estan de manera especifica en la ficha EBI (Ejemplo: Talento humano, Juridica, Control Interno)</t>
  </si>
  <si>
    <t>3.6 INDICADOR</t>
  </si>
  <si>
    <t>Identifique el nombre de las dependencias encargada de adelantar cada una de las actividades.</t>
  </si>
  <si>
    <t xml:space="preserve">Especifique de la lista desplegable el nombre del Plan de Desarrollo vigente, en el cual se encuentra inscrita la Entidad. </t>
  </si>
  <si>
    <t>Especifique de la lista desplegable los periodos de vigencia para el Plan de Desarrollo inscrito en el numeral 1. Ej: 2016 a 2020</t>
  </si>
  <si>
    <t>Identifique de la lista desplegable el eje o pilar del Plan de Desarrollo Distrital, en el que se encuentra reflejado el accionar de la Entidad y el grupo de trabajo de acuerdo a los proyectos de inversión inscritos en dicho plan.</t>
  </si>
  <si>
    <t>Identifique de la lista desplegable el Programa del Plan de Desarrollo Distrital, en el que se encuentra reflejado el accionar de la Entidad y el grupo de trabajo de acuerdo a los proyectos de inversión inscritos en dicho plan.</t>
  </si>
  <si>
    <t>Identifique de la lista desplegable el nombre del proyecto estrategico mediante el cual se destinan los recursos para el funcionamiento del grupo de trabajo que desarrolla las acciones para el cumplimiento del Plan de Acción.</t>
  </si>
  <si>
    <t>Identifique de la lista desplegable el nombre del Proyecto de Inversión mediante el cual el grupo de trabajo desarrolla las acciones para el cumplimiento del Plan de Acción.</t>
  </si>
  <si>
    <t>Identifique de la lista desplegable el nombre de la meta del proyecto de inversión que le corresponde al Plan de Acción que se esta formulando.</t>
  </si>
  <si>
    <t>Especifique el grupo encargado de formular y desarrollar el Plan de Acción. (Ejemplo: Subdirección - Grupo)</t>
  </si>
  <si>
    <t>Especifique de la lista desplegable la vigencia para la ejecución y desarrollo del Plan de Acción  Ej: Enero 1 a 31 de Diciembre de 2016.</t>
  </si>
  <si>
    <t>Firma:</t>
  </si>
  <si>
    <t>Nombre y cargo:</t>
  </si>
  <si>
    <t>Elaborado por:</t>
  </si>
  <si>
    <t>COMPONENTE FINANCIERO</t>
  </si>
  <si>
    <t>Ejecución reserva presupuestal programada</t>
  </si>
  <si>
    <t>Ejecución presupuestal programada</t>
  </si>
  <si>
    <t>Especifique un indicador de eficacia que se relaciona directamente producto y/o actividad .</t>
  </si>
  <si>
    <t>Estime el valor de los recursos financieros que se requiere para desarrollar la actividad, asi como la fuente de financiación.</t>
  </si>
  <si>
    <r>
      <rPr>
        <b/>
        <sz val="10"/>
        <rFont val="Arial"/>
        <family val="2"/>
      </rPr>
      <t>Diana Patricia Arevalo Sánchez</t>
    </r>
    <r>
      <rPr>
        <sz val="10"/>
        <rFont val="Arial"/>
        <family val="2"/>
      </rPr>
      <t xml:space="preserve"> 
Subdirectora de Análisis de Riesgos y Efectos de Cambio Climático</t>
    </r>
  </si>
  <si>
    <r>
      <rPr>
        <b/>
        <sz val="10"/>
        <rFont val="Arial"/>
        <family val="2"/>
      </rPr>
      <t xml:space="preserve">Jorge Mario Bunch Higuera 
</t>
    </r>
    <r>
      <rPr>
        <sz val="10"/>
        <rFont val="Arial"/>
        <family val="2"/>
      </rPr>
      <t xml:space="preserve">Subdirector Corporativo y Asuntos Disciplinarios </t>
    </r>
  </si>
  <si>
    <r>
      <rPr>
        <b/>
        <sz val="10"/>
        <rFont val="Arial"/>
        <family val="2"/>
      </rPr>
      <t xml:space="preserve">Olga Lucia Torres Becerra 
</t>
    </r>
    <r>
      <rPr>
        <sz val="10"/>
        <rFont val="Arial"/>
        <family val="2"/>
      </rPr>
      <t>Subdirectora de Participación para la Gestión de Riesgos y Adaptación al Cambio Climático</t>
    </r>
  </si>
  <si>
    <r>
      <rPr>
        <b/>
        <sz val="10"/>
        <rFont val="Arial"/>
        <family val="2"/>
      </rPr>
      <t xml:space="preserve">Carlos Ciro Asprilla Cruz
</t>
    </r>
    <r>
      <rPr>
        <sz val="10"/>
        <rFont val="Arial"/>
        <family val="2"/>
      </rPr>
      <t>Subdirector Resiliencia y Coordinación de Emergencias</t>
    </r>
  </si>
  <si>
    <r>
      <rPr>
        <b/>
        <sz val="10"/>
        <rFont val="Arial"/>
        <family val="2"/>
      </rPr>
      <t xml:space="preserve">Diana Marcela Londoño 
</t>
    </r>
    <r>
      <rPr>
        <sz val="10"/>
        <rFont val="Arial"/>
        <family val="2"/>
      </rPr>
      <t>Asesora de Comunicaciones</t>
    </r>
  </si>
  <si>
    <r>
      <rPr>
        <b/>
        <sz val="10"/>
        <rFont val="Arial"/>
        <family val="2"/>
      </rPr>
      <t xml:space="preserve">Juan Carlos Leon 
</t>
    </r>
    <r>
      <rPr>
        <sz val="10"/>
        <rFont val="Arial"/>
        <family val="2"/>
      </rPr>
      <t>Jefe de la Oficina Asesora Juridica</t>
    </r>
  </si>
  <si>
    <r>
      <rPr>
        <b/>
        <sz val="10"/>
        <rFont val="Arial"/>
        <family val="2"/>
      </rPr>
      <t xml:space="preserve">Oscar Alfredo Fajardo Ortega
</t>
    </r>
    <r>
      <rPr>
        <sz val="10"/>
        <rFont val="Arial"/>
        <family val="2"/>
      </rPr>
      <t>Jefe de la Oficina TIC</t>
    </r>
  </si>
  <si>
    <r>
      <rPr>
        <b/>
        <sz val="10"/>
        <rFont val="Arial"/>
        <family val="2"/>
      </rPr>
      <t xml:space="preserve">Rafael Enrique Moreno Alvarez
</t>
    </r>
    <r>
      <rPr>
        <sz val="10"/>
        <rFont val="Arial"/>
        <family val="2"/>
      </rPr>
      <t>Prof. Oficina Asesora de Planeación</t>
    </r>
  </si>
  <si>
    <r>
      <rPr>
        <b/>
        <sz val="10"/>
        <rFont val="Arial"/>
        <family val="2"/>
      </rPr>
      <t xml:space="preserve">Angelica Maria Bermudez Rodriguez
</t>
    </r>
    <r>
      <rPr>
        <sz val="10"/>
        <rFont val="Arial"/>
        <family val="2"/>
      </rPr>
      <t>Prof. Oficina Asesora de Planeación</t>
    </r>
  </si>
  <si>
    <r>
      <rPr>
        <b/>
        <sz val="10"/>
        <rFont val="Arial"/>
        <family val="2"/>
      </rPr>
      <t>Claudia Liliana Guerrero Garcia</t>
    </r>
    <r>
      <rPr>
        <sz val="10"/>
        <rFont val="Arial"/>
        <family val="2"/>
      </rPr>
      <t xml:space="preserve"> 
Prof. Oficina Asesora de Planeación</t>
    </r>
  </si>
  <si>
    <r>
      <rPr>
        <b/>
        <sz val="10"/>
        <rFont val="Arial"/>
        <family val="2"/>
      </rPr>
      <t>Jóse Leonardo Millán Alvarado</t>
    </r>
    <r>
      <rPr>
        <sz val="10"/>
        <rFont val="Arial"/>
        <family val="2"/>
      </rPr>
      <t xml:space="preserve"> 
Prof. Oficina Asesora de Planeación</t>
    </r>
  </si>
  <si>
    <r>
      <t xml:space="preserve">Registre la cantidad o unidad fisica que define la actividad (familias, predios, estudios, </t>
    </r>
    <r>
      <rPr>
        <sz val="11"/>
        <color indexed="10"/>
        <rFont val="Arial"/>
        <family val="2"/>
      </rPr>
      <t>hectarias,</t>
    </r>
    <r>
      <rPr>
        <sz val="11"/>
        <color indexed="8"/>
        <rFont val="Arial"/>
        <family val="2"/>
      </rPr>
      <t xml:space="preserve"> personas, obras)</t>
    </r>
  </si>
  <si>
    <t>Promover, articular y contribuir al desarrollo del conocimiento y el análisis de riesgos y los efectos del Cambio Climático, a través del reconocimiento de saberes, consolidación y análisis de información para la toma de decisiones en gestión de riesgos, mitigación y adaptación al cambio climático en el Distrito Capital.</t>
  </si>
  <si>
    <t>COMPONENTE: CARACTERIZACIÓN DE ESCENARIOS DE RIESGO</t>
  </si>
  <si>
    <t>Aprobado por:</t>
  </si>
  <si>
    <r>
      <t xml:space="preserve">Liste las actividades criticas que componen el desarrollo producto esperado, tenga en cuenta:
*Actividades secuenciales y/o actividades paralelas, identificar que actividades </t>
    </r>
    <r>
      <rPr>
        <sz val="11"/>
        <color indexed="10"/>
        <rFont val="Arial"/>
        <family val="2"/>
      </rPr>
      <t>con</t>
    </r>
    <r>
      <rPr>
        <sz val="11"/>
        <color indexed="8"/>
        <rFont val="Arial"/>
        <family val="2"/>
      </rPr>
      <t xml:space="preserve"> son prerrequisito de otras. Verifique que se cumpla el ciclo Planear, Hacer, Verificar, Actuar (PHVA) Nota: Limite el numero de actividades es deseable que </t>
    </r>
    <r>
      <rPr>
        <b/>
        <sz val="11"/>
        <color indexed="8"/>
        <rFont val="Arial"/>
        <family val="2"/>
      </rPr>
      <t>no sean más de 6 por producto.</t>
    </r>
  </si>
  <si>
    <t>Seguimiento a la gestión interna de los procesos de la SARECC</t>
  </si>
  <si>
    <t>COMPONENTE GESTIÓN DE PROCESOS</t>
  </si>
  <si>
    <t>Ejecución del Programa Anual Mensualizado de Caja (PAC)</t>
  </si>
  <si>
    <t>Articulado, Programas y Proyectos</t>
  </si>
  <si>
    <t>Informes de supervisión</t>
  </si>
  <si>
    <t>Informes de supervisión elaborados / Informes de supervisión planeados</t>
  </si>
  <si>
    <t>Procedimientos actualizados / Procedimientos planeados para actualizar</t>
  </si>
  <si>
    <t>Procedimientos</t>
  </si>
  <si>
    <t>Acciones de mejora cerradas / Acciones de mejora formuladas</t>
  </si>
  <si>
    <t>Acciones de mejora</t>
  </si>
  <si>
    <t>Presupuesto ejecutado / Presupuesto programado</t>
  </si>
  <si>
    <t>Presupuesto</t>
  </si>
  <si>
    <t>Subdirección de Análisis de Riesgo y Efectos del Cambio Climático</t>
  </si>
  <si>
    <t>Establecer el indicador PDD asociado a la meta que aporta el Plan de Acción.</t>
  </si>
  <si>
    <t>• Mantener 6  escenarios actualizados que contribuyan a fortalecer el conocimiento de riesgo y efectos del cambio climático en el Distrito Capital.
• Actualizar 4 planos normativos con la  Zonificación de Amenazas para el Plan de Ordenamiento Territorial 
• Elaborar 9 documentos de estudios  y/o diseños de obras de Reducción de Riesgo para el Distrito Capital 
• Emitir 2500 Documentos Técnicos  de amenaza y/o riesgo  a través de Conceptos  y/o Diagnósticos Técnicos
• Diseñar, instrumentar y administrar 1 Sistema de Alerta que  aborde  condiciones meteorológicas, hidrológicas y geotécnicas.</t>
  </si>
  <si>
    <t>COMPONENTE: MONITOREO DE RIESGOS</t>
  </si>
  <si>
    <t>COMPONENTE: ANÁLISIS DE RIESGOS</t>
  </si>
  <si>
    <t>Número de familias reasentadas definitivamente</t>
  </si>
  <si>
    <t>Nº de Estudios y/o diseños ejecutados / Nº de Estudios y/o diseños programados</t>
  </si>
  <si>
    <t xml:space="preserve">Desarrollar y retroalimentar permanentemente la caracterización del escenario de riesgo por Construcciones y de cambio climático. </t>
  </si>
  <si>
    <t xml:space="preserve">Escenarios de Riesgo actualizados y publicados en la Página WEB </t>
  </si>
  <si>
    <t xml:space="preserve">Hemeroteca virtual de Emergencias en Bogotá D.C, funcionando con información histórica de Eventos de Emergencia. </t>
  </si>
  <si>
    <t>Estudios de Riesgo Climático</t>
  </si>
  <si>
    <t>Apoyo técnico para campañas de concientización, sensibilización y capacitación para los escenarios de riesgo</t>
  </si>
  <si>
    <t xml:space="preserve">Actualización de mapa de Suelos de Protección por Riesgo. </t>
  </si>
  <si>
    <t>Evaluación de estrategias de gestión de riesgos en contraste con la dinámica de riesgos de la ciudad</t>
  </si>
  <si>
    <t xml:space="preserve">Modelos actualizados a diferentes escenarios (Magnitudes 5.0 -5.5, 6.0 , 6.5..etc..)  por sismo que permita establecer las estrategias y mecanismos para la reducción del riesgo sísmico </t>
  </si>
  <si>
    <t>Estudios de detalle para cuerpos de agua con susceptibilidad por avenidas torrenciales</t>
  </si>
  <si>
    <t>Revisión, actualización o modificación de la resolución 227 de 2006. Estudios licencias urbanísticas</t>
  </si>
  <si>
    <t>Actualización o modificación de la resolución 600 de 2015. Guia de excavaciones</t>
  </si>
  <si>
    <t>Conceptos técnicos para legalización y regularización de barrios solicitados por la Secretaría Distrital del Hábitat</t>
  </si>
  <si>
    <t>Conceptos técnicos para trámite de planes parciales solicitados por la Secretaría Distrital del Planeación</t>
  </si>
  <si>
    <t>Conceptos técnicos de verificación del cumplimiento de los términos de referencia establecidos en la Resolución 227 de 2006, en los estudios detallados de amenaza y riesgo para obtención de licencias de urbanización en zonas de amenaza media y alta por movimientos en masa.</t>
  </si>
  <si>
    <t xml:space="preserve">Diagnóstico técnicos  por solicitud de comunidad y/o  entidades del Distrito. </t>
  </si>
  <si>
    <t xml:space="preserve">Diagnósticos técnicos asociado a eventos reportados por emergencia. </t>
  </si>
  <si>
    <t>Definición y validación de umbrales de desbordamiento para los cauces que monitorea el IDIGER</t>
  </si>
  <si>
    <t>Diseño y estructuración del Sistema de Alerta de Bogotá en la página Web (Publicación de los datos generados por las redes de observación).</t>
  </si>
  <si>
    <t xml:space="preserve">Publicación de la Información técnica derivada de la red de monitoreo  </t>
  </si>
  <si>
    <t>Elaboración de los insumos técnicos para los Planes de contingencias para la ciudad.</t>
  </si>
  <si>
    <t>Adquirir y optimizar la infraestructura tecnológica (hardware y sotfware) necesaria para realizar modelaciones que contribuyan a analizar condiciones de riesgo a partir de la medición de parámetros de las redes de monitoreo.</t>
  </si>
  <si>
    <t>Oficina Asesora de Planeación</t>
  </si>
  <si>
    <t>Retroalimentación continua de los escenarios de Riesgo acorde con el seguimiento realizado a las dinámicas del riesgo en el D.C. (Sísmico, Movimientos en masa, Inundaciones, Aglomeraciones de Público, Tecnológico e Incendios Forestales).</t>
  </si>
  <si>
    <t>Orientación al SDGRCC en la priorización de acciones en gestión de riesgos en el Distrito Capital a partir de los Escenarios de Riesgo</t>
  </si>
  <si>
    <t xml:space="preserve">Comunicación a través de charlas o capacitaciones en los diferentes escenarios de riesgo. </t>
  </si>
  <si>
    <t>Estudios específicos de amenaza, vulnerabilidad y riesgos de poligonos priorizados técnicamente, a partir del mapa de áreas con condición de riesgo - POT. (Movimientos en masa)</t>
  </si>
  <si>
    <t>Agenda de temas prioritarios eventos internacional</t>
  </si>
  <si>
    <t xml:space="preserve">Monitoreo en tiempo real sobre el registro del radar meteorológico y redes de monitoreo hidrometeorológico para la ciudad de Bogotá </t>
  </si>
  <si>
    <t xml:space="preserve">Modelación permanente  de amenaza y riesgo físico por  sismo y movimientos en masa cuando se presenten diferentes eventos  en la ciudad para acciones de Manejo de Emergencias. </t>
  </si>
  <si>
    <t>Fortalecimiento de la Red de Acelerógrafos de Bogotá a través de la recepción e instalación de 7 equipos donados por JICA dentro del desarrollo del Proyecto SATREPS.</t>
  </si>
  <si>
    <t>3.2. 
METAS</t>
  </si>
  <si>
    <t xml:space="preserve">Mantener  6 escenarios  actualizados que contribuyan a fortalecer el conocimiento de riesgo y efectos del cambio climático en el distrito capital </t>
  </si>
  <si>
    <t xml:space="preserve">Actualizar  2 planos normativos con la  zonificación de amenazas para el plan de ordenamiento territorial </t>
  </si>
  <si>
    <t>Elaborar en los 6 escenarios de riesgo el material técnico para concientización, sensibilización y capacitación con el fin de fortalecer el conocimiento</t>
  </si>
  <si>
    <t>Estructuración del proyecto de actualización del inventario de edificaciones públicas frente al cumplimiento de la NSR-10</t>
  </si>
  <si>
    <t xml:space="preserve">Revisar  2 instrumentos de gestión de riesgo  para la actualización acorde al estado de arte y de la normatividad vigente </t>
  </si>
  <si>
    <t>Mantener un inventario actualizado de suelo identificado en condición de alto riesgo no mitigable</t>
  </si>
  <si>
    <t>Desarrollo de un aplicativo, que permita automatizar  el proceso de consulta de antecedentes para la emisión de certificaciones de riesgo.</t>
  </si>
  <si>
    <t>Conceptos técnicos de amenaza ruina</t>
  </si>
  <si>
    <t>Restablecer un grupo de inspección de edificaciones después de un sismo</t>
  </si>
  <si>
    <t xml:space="preserve">Grupo de inspectores certificados para evaluación de edificaciones  después de un sismo. </t>
  </si>
  <si>
    <t>Base de información geográfica de la Gestión de Riesgo.</t>
  </si>
  <si>
    <t>Actualizar una base de información geográfica de la Gestión de Riesgo.</t>
  </si>
  <si>
    <t>Administrar el 100% de los procedimientos a cargo de la SARECC</t>
  </si>
  <si>
    <t xml:space="preserve">3.4. PRODUCTO  </t>
  </si>
  <si>
    <t>3.5. PROGRAMACIÓN</t>
  </si>
  <si>
    <t>Adquisición e instalación de 18 nuevas estaciones hidrometeorológicas en la ciudad de Bogotá para su fortalecimiento y ampliación.</t>
  </si>
  <si>
    <t>Estructuración, validación y complementación de la información generada por las Red Hidrometeorológica de Bogotá</t>
  </si>
  <si>
    <t xml:space="preserve">Adquisición e instalación de 5 Sensores de Nivel para el fortalecimiento y ampliación de la Red Hidrometeorológica de Bogotá. </t>
  </si>
  <si>
    <t>Estructuración, validación y complementación de la información generada para la Red de Acelerógrafos de Bogotá.</t>
  </si>
  <si>
    <t>Sistema de alerta diseñado / Sistema de alerta programado</t>
  </si>
  <si>
    <t xml:space="preserve">Sistema de alerta diseñado </t>
  </si>
  <si>
    <t xml:space="preserve"> Emitir 40 documentos técnicos de amenaza y/o riesgo  a través de conceptos  y/o diagnósticos técnicos </t>
  </si>
  <si>
    <t xml:space="preserve"> Emitir 12 documentos técnicos de amenaza y/o riesgo  a través de conceptos  y/o diagnósticos técnicos </t>
  </si>
  <si>
    <t xml:space="preserve"> Emitir  60 documentos técnicos de amenaza y/o riesgo  a través de conceptos  y/o diagnósticos técnicos </t>
  </si>
  <si>
    <t xml:space="preserve"> Emitir  900 documentos técnicos de amenaza y/o riesgo  a través de conceptos  y/o diagnósticos técnicos </t>
  </si>
  <si>
    <t>Conceptos Planificación Territorial
Planta: Diego Plazas</t>
  </si>
  <si>
    <t>Conceptos Planificación Territorial
Planta: Diego Plazas 
Contratistas: Paula Rodríguez 
Johana Rozo</t>
  </si>
  <si>
    <t xml:space="preserve">Estudios y/o diseños </t>
  </si>
  <si>
    <t xml:space="preserve">Actualización, publicación y socialización de un procedimiento de Estudios y Diseños </t>
  </si>
  <si>
    <t>Contratista: Leonardo Montes</t>
  </si>
  <si>
    <t>Contratista: Carlos Lozano</t>
  </si>
  <si>
    <t xml:space="preserve">Número de solicitudes respondidas dentro del tiempo establecido / Total de solicitudes radicadas </t>
  </si>
  <si>
    <t>Porcentaje</t>
  </si>
  <si>
    <t>Diagnósticos Técnicos</t>
  </si>
  <si>
    <t>Nº de Diagnósticos técnicos emitidos / Nº de Diagnósticos técnicos solicitados</t>
  </si>
  <si>
    <t xml:space="preserve">Actualización, publicación y socialización de un procedimiento de Asistencia Técnica
Actualización del formato GAR-FT-01 Visita Técnica </t>
  </si>
  <si>
    <t xml:space="preserve"> Nº certificaciones emitidas en el tiempo oportuno  / Total de solicitudes radicadas </t>
  </si>
  <si>
    <t>Nº Certificaciones de amenaza y/o riesgo elaboradas  / Nº Certificaciones de amenaza y/o riesgo solicitadas</t>
  </si>
  <si>
    <t>Certificaciones</t>
  </si>
  <si>
    <t xml:space="preserve">Nº de Conceptos Técnicos de Amenaza Ruina  emitidos / Nº de Conceptos Técnicos solicitados </t>
  </si>
  <si>
    <t>Concepto Técnico</t>
  </si>
  <si>
    <t xml:space="preserve"> Emitir 120 documentos técnicos de amenaza y/o riesgo  a través de conceptos  y/o diagnósticos técnicos </t>
  </si>
  <si>
    <t>Documentos de certificaciones de amenaza y/o riesgo para  áreas especificas, inmuebles o viviendas y conceptos técnicos de riesgo para proyectos de inversión pública en el Distrito Capital</t>
  </si>
  <si>
    <t xml:space="preserve">Actualización, publicación y socialización de un procedimiento de Conceptos Técnicos de Amenaza Ruina 
Elaboración del procedimiento de Certificaciones de Riesgo </t>
  </si>
  <si>
    <t>Nº de Mapas Normativos actualizados / Nº de Mapas Normativos programados</t>
  </si>
  <si>
    <t>Mapa Normativo</t>
  </si>
  <si>
    <t>Nº Articulado, Programas y Proyectos / Nº Articulado, programas y proyectos programados</t>
  </si>
  <si>
    <t xml:space="preserve">Documento Técnico (DT) de la Amenaza Tecnológica y amenaza sísmica </t>
  </si>
  <si>
    <t xml:space="preserve">Ajuste y seguimiento a la Ejecución del Plan Distrital de Gestión de Riesgos y Cambio Climático </t>
  </si>
  <si>
    <t>Adopción de Acto Administrativo de PDGR-CC Ajustado. 
(Manuel Amaya)</t>
  </si>
  <si>
    <t xml:space="preserve"> Acto Administrativo proyectado/  Acto Administrativo adoptado</t>
  </si>
  <si>
    <t xml:space="preserve"> Acto Administrativo </t>
  </si>
  <si>
    <t xml:space="preserve">Actualización, publicación y socialización de un procedimiento:   
* Estructuración de información geográfica. </t>
  </si>
  <si>
    <t>Jefe Oficina TIC</t>
  </si>
  <si>
    <t>Actualización, publicación y socialización de un procedimiento de Monitoreo de Riesgos</t>
  </si>
  <si>
    <t xml:space="preserve">Diseñar e implementar un sistema de alerta que aborde condiciones meteorológicas, hidrológicas y geotécnicas. </t>
  </si>
  <si>
    <t>Asistencia Técnica
Líder Grupo Funcional Jairo Torres</t>
  </si>
  <si>
    <t xml:space="preserve">Estudios y diseños 
Líder Grupo funcional: Consuelo Sánchez </t>
  </si>
  <si>
    <t>Fortalecimiento y modernización tecnológica de un equipo de aceleración a nivel de roca de la Red de Acelerógrafos de Bogotá.</t>
  </si>
  <si>
    <t>Ampliación y mejoramiento de un sistema de comunicaciones de banda ancha (incluyendo su infraestructura) para las redes de monitoreo que administra el IDIGER.</t>
  </si>
  <si>
    <t xml:space="preserve">Fortalecer  una red de monitoreo del IDIGER a través del desarrollo de sensores e instrumentos de medición  que permitan una mejora en la sensórica y automatización de la red actual. </t>
  </si>
  <si>
    <t>Adquirir e instalar 24 instrumentos para el fortalecimiento de las redes de monitoreo del Sistema de Alerta de Bogotá</t>
  </si>
  <si>
    <t xml:space="preserve">Emitir 250 informes soportados en la captura y procesamiento de datos de las redes de monitoreo del Sistema de Alerta de Bogotá </t>
  </si>
  <si>
    <t>Nº Informes elaborados / Nº Informes programados</t>
  </si>
  <si>
    <t xml:space="preserve">Informes </t>
  </si>
  <si>
    <t xml:space="preserve">Nº de Instrumentos adquiridos e instalados / Nº de Instrumentos programados </t>
  </si>
  <si>
    <t xml:space="preserve">Instrumentos </t>
  </si>
  <si>
    <t>Monitoreo de Riesgos
Líder Grupo Funcional:
 Marío Leal
Asesora: María Teresa Martinez</t>
  </si>
  <si>
    <t>Asesora: María Teresa Martinez</t>
  </si>
  <si>
    <t>Profesional especializado 222-23:  Luis Esteban Montaña 
Contratista: Lisandro Nuñez</t>
  </si>
  <si>
    <t>Profesional especializado 222-23:  Luis Esteban Montaña  
Contratista: Lisandro Nuñez</t>
  </si>
  <si>
    <t>Líder Grupo Funcional Mario Leal
Contratista Guillermo Olaya</t>
  </si>
  <si>
    <t>Líder Grupo Funcional Mario Leal.
 Contratista Carlos Lozano</t>
  </si>
  <si>
    <t>Líder Grupo Funcional y Contratistas Grupo Monitoreo de Riesgos</t>
  </si>
  <si>
    <t>Líder  Grupo Funcional y Contratistas Grupo Monitoreo de Riesgos</t>
  </si>
  <si>
    <t>Líder Grupo Funcional
 Mario Leal.
Contratista: Univ. De La Salle</t>
  </si>
  <si>
    <t>Cobertura misional</t>
  </si>
  <si>
    <t>SIG 
Profesional Universitario 219-12
 Gustavo Fuentes</t>
  </si>
  <si>
    <t>Monitoreo de Riesgos 
Líder Grupo Funcional Mario Leal</t>
  </si>
  <si>
    <t>Subdirección Corporativa y Asuntos Disciplinarios 
Contratista: Marcela Parra</t>
  </si>
  <si>
    <t>Nº de coberturas misionales actualizadas  / 4 coberturas misionales de IDIGER</t>
  </si>
  <si>
    <t xml:space="preserve">SIG
Lider Grupo Funcional: Gustavo Fuentes 
Wilson Páez Profesional Universitario Grado 8
Contratistas: 
María Piedad Camargo
Nini Johana Marin </t>
  </si>
  <si>
    <t>Elaborar 3300 Certificaciones amenaza y/o riesgo</t>
  </si>
  <si>
    <t xml:space="preserve">Estudio y diseños de obras de drenaje para la Ciudadela Santa Rosa de la localidad de San Cristóbal en Bogotá D.C.                                                                                                                                                                              </t>
  </si>
  <si>
    <t>Diseños de obras en sitios críticos y de emergencia</t>
  </si>
  <si>
    <t xml:space="preserve">Elaborar 6 documentos de estudios y/o diseños  de obras de reducción de riesgo para el distrito capital </t>
  </si>
  <si>
    <t>Líder Grupo Funcional:  Consuelo Sánchez Contratista: Profesional Especializado</t>
  </si>
  <si>
    <t>Lider Grupo Funcional: Jairo William 
Torres Becerra
Profesional Especializado Fernando Ospina</t>
  </si>
  <si>
    <t>Estudios y diseños 
Líder Grupo Funcional
Consuelo Sánchez</t>
  </si>
  <si>
    <t xml:space="preserve"> SIG
2 Contratos de prestación de servicios </t>
  </si>
  <si>
    <t>POT 
17 contratos de prestación de servicios 
Arrendamiento oficina 
Talleres OT</t>
  </si>
  <si>
    <t xml:space="preserve">POT 
César Peña </t>
  </si>
  <si>
    <t>Escenarios de Riesgos 
Líder Grupo Funcional 
Lina Hernández</t>
  </si>
  <si>
    <t xml:space="preserve"> Realizar el monitoreo geotécnico en 15 microcuencas para identificar acciones prospectivas ante condiciones de riesgo inminente.</t>
  </si>
  <si>
    <t>Microcuencas</t>
  </si>
  <si>
    <t>Nº Microcuencas con monitoreo geotécnico</t>
  </si>
  <si>
    <t>Elaborar un estudio de Riesgo Climático</t>
  </si>
  <si>
    <t>Nº de Estudios ejecutados  de Riesgo Climático/ Nº de Estudios diseños programados de Riesgo Climático</t>
  </si>
  <si>
    <t>Estudios</t>
  </si>
  <si>
    <t>Escenarios de Riesgos
Líder Grupo Funcional: Lina María Hernández O
Contratista: 
Rodrigo Suárez
Profesional especializado Cambio Climático</t>
  </si>
  <si>
    <t>Caracterizaciones de escenarios de riesgos actualizadas</t>
  </si>
  <si>
    <t>Caracterizaciones</t>
  </si>
  <si>
    <t>Número</t>
  </si>
  <si>
    <t>Visitas efectivas consultando la Hemeroteca de Emergencias</t>
  </si>
  <si>
    <t>Porcentaje de noticias revisadas que contienen errores</t>
  </si>
  <si>
    <t xml:space="preserve">Escenarios de Riesgos
Líder Grupo Funcional: Lina María Hernández O
Contratista: 
Profesional Movimientos en Masa
Wilson Molina -Tecnológico 
Contratista Incendios Forestales Subd. Emergencias 
Funcionarios:
Libardo Tinjaca  Riesgo Sismico
Camilo Espinosa Inundaciones
Prof. Subd. Emergencias Aglomeraciones Público
</t>
  </si>
  <si>
    <t xml:space="preserve">Administrar y mantener una hemeroteca de Emergencias  de  Bogota. </t>
  </si>
  <si>
    <t>Número de Visitas</t>
  </si>
  <si>
    <t xml:space="preserve">Porcentaje de avance en la revisión de periódicos de 69 años </t>
  </si>
  <si>
    <t>Indicador. Nº de materiales elaborados técnicos desarrollados por Escenario</t>
  </si>
  <si>
    <t>Instrumentos</t>
  </si>
  <si>
    <t>Nº instrumentos de Gestión de Riesgo actualizado / Nº Instrumento de Gestión de Riesgo programados</t>
  </si>
  <si>
    <t>Escenarios de Riesgos
Líder Grupo Funcional: Lina María Hernández O
Contratista: 
Angélica Monsalve</t>
  </si>
  <si>
    <t xml:space="preserve">Estructuración de un inventario de instalaciones fijas con riesgos de accidentes mayores en la ciudad de Bogotá </t>
  </si>
  <si>
    <t>Estructurar dos inventariospara la línea base de riesgo sísmico y tecnológico</t>
  </si>
  <si>
    <t>Nº Inventarios elaborados / Nº de Inventarios programados</t>
  </si>
  <si>
    <t>Inventarios</t>
  </si>
  <si>
    <t>Escenarios de Riesgos
Líder Grupo Funcional: Lina María Hernández O
Funcionario: 
Libardo Tinjaca - Riesgo Sísmico</t>
  </si>
  <si>
    <t xml:space="preserve">Realizar tres modelaciones de Escenarios de Riesgo asociados a riesgo sismico o movimientos en masa.  </t>
  </si>
  <si>
    <t>No modelaciones de Escenarios de riesgo ejecutadas/No Escenarios de riesgo programadas</t>
  </si>
  <si>
    <t>Modelaciones</t>
  </si>
  <si>
    <t>Escenarios de Riesgos
Líder Grupo Funcional: Lina María Hernández O
Contratista: 
Profesional Especializado para Modelación de Escenarios de Riesgo</t>
  </si>
  <si>
    <t>Procedimientos elaborados  / Procedimientos programados</t>
  </si>
  <si>
    <t>Conceptos Planificación Territorial 
Líder Grupo Funcional Jesús Rojas</t>
  </si>
  <si>
    <t>Asistencia Técnica 
Líder Grupo Funcional Jairo Torres</t>
  </si>
  <si>
    <t>SIG
Líder Grupo Funcional Gustavo Fuentes</t>
  </si>
  <si>
    <t>Realizar seguimiento presupuestal a cargo de la SARECC</t>
  </si>
  <si>
    <t>Recursos Apoyo logístico</t>
  </si>
  <si>
    <t>Elaboración, publicación y socialización de 2 procedimientos: 
*  Validación de información
* Gestión de solicitudes de información geográfica</t>
  </si>
  <si>
    <t>Realizar el seguimiento al 100% de la supervisiones a cargo de la SARECC</t>
  </si>
  <si>
    <t>Escenarios de Riesgo 
Líder Grupo funcional: Lina María Hernández O
Funcionario:Camilo Espinosa Grado 222-23</t>
  </si>
  <si>
    <t>Validado por:</t>
  </si>
  <si>
    <t>Revisó:
Firma:</t>
  </si>
  <si>
    <t>Contratar el servicio de transporte terrestre especial para el desarrollo de las actividades que tiene a cargo el IDIGER como coordinador del Sistema Distrital de Gestión de Riesgos y Cambio Climático - SDGR-CC.</t>
  </si>
  <si>
    <t>Subdirección Corporativa y Asuntos Disciplinarios
Profesional Especializado 222- 23 Johana Parra</t>
  </si>
  <si>
    <t>Conceptos Planificación Territorial
Planta: Amparo Carolina Castañeda
Planta: Gustavo Palomino</t>
  </si>
  <si>
    <t xml:space="preserve">Conceptos proyectos públicos
Líder Funcional: Claudio Gerardo Hozman Mora
Planta: Ana Yolanda Fonseca
Contratistas: 
Carlos Alberto Chavarro
Auxiliar Administrativo: Maria del Pilar Prieto </t>
  </si>
  <si>
    <t>4. SEGUIMIENTO AL PLAN DE ACCIÓN</t>
  </si>
  <si>
    <t>4.1 CUMPLIMIENTO DE LA ACTIVIDAD</t>
  </si>
  <si>
    <t xml:space="preserve">4.2.
EVIDENCIA O SOPORTE DEL CUMPLIMIENTO DE LA SUB ACTIVIDAD </t>
  </si>
  <si>
    <t>4.3.
EJECUCIÓN DE RECURSOS INVERSIÓN</t>
  </si>
  <si>
    <t>4.3.
EJECUCIÓN DE RECURSOS FONDIGER</t>
  </si>
  <si>
    <t xml:space="preserve">4.4.
% ACUMULADO DE AVANCE POR ACTIVIDAD </t>
  </si>
  <si>
    <t>4.5.
OBSERVACIONES</t>
  </si>
  <si>
    <t>NO</t>
  </si>
  <si>
    <t>SI</t>
  </si>
  <si>
    <t xml:space="preserve">NO </t>
  </si>
  <si>
    <t xml:space="preserve">Monitoreo de Riesgo
Líder Grupo Funcional Mario Helberto Leal </t>
  </si>
  <si>
    <t>No presenta avance.</t>
  </si>
  <si>
    <t>Mapa normativo con la zonificación de amenaza de Movimientos en Masa para la zona rural de Bogotá D.C. con Documento Técnico de Soporte (DTS).</t>
  </si>
  <si>
    <t>Mapa normativo con la zonificación de amenaza de Avenidas Torrenciales para la zona rural de Bogotá D.C., con Documento Técnico de Soporte (DTS).</t>
  </si>
  <si>
    <t>Mapa normativo con la zonificación de amenaza por desbordamiento para la zona urbana de Bogotá D.C, con Documento Técnico de Soporte (DTS).</t>
  </si>
  <si>
    <t>Mapa normativo con la zonificación de amenaza de Movimientos en Masa para los centros poblados y nodos de equipamiento de Bogotá D.C.  con Documento Técnico de Soporte (DTS).</t>
  </si>
  <si>
    <t>Mapa de Zonificación de amenaza por Incendios Forestales  con Documento Técnico de Soporte (DTS) de otras amenazas.</t>
  </si>
  <si>
    <t xml:space="preserve">Mapa Normativo de Áreas con Condición de Amenaza con Documento Técnico de Soporte (DTS).    </t>
  </si>
  <si>
    <t xml:space="preserve">Mapa Normativo de Áreas con Condición de Riesgo con Documento Técnico de Soporte (DTS).  </t>
  </si>
  <si>
    <t>Mapa Normativo de Suelos de Protección con Documento Técnico de Soporte (DTS).</t>
  </si>
  <si>
    <t xml:space="preserve">SARECC </t>
  </si>
  <si>
    <t>Líder Grupo Funcional Mario Leal
Contratista Guillermo Olaya
Oficina TIC</t>
  </si>
  <si>
    <t>Priorización de los predios identificados en condición de riesgo  no mitigable en trámite de reasentamiento.</t>
  </si>
  <si>
    <t xml:space="preserve">Escenarios de Riesgos
Líder Funcional: Lina María Hernández O
Contratista: Auxiliar administrativo Myriam Lucy Molina </t>
  </si>
  <si>
    <t>Escenarios de Riesgos
Líder Funcional: Lina María Hernández O
Contratista: Angelica Monsalve
Rodrigo Suárez
Profesional Cambio Climático</t>
  </si>
  <si>
    <t xml:space="preserve">Escenarios de Riesgos
Líder Grupo Funcional: Lina María Hernández Ortíz
Contratista: 
Wilson Molina - Riesgo Tecnológico </t>
  </si>
  <si>
    <t>Asistencia Técnica 
Profesional Especializado 222-23  Fredy Quiroga
Apoyo: Mario Alejandro Palomino</t>
  </si>
  <si>
    <t>Asistencia técnica
Líder Funcional: Jairo William 
Torres Becerra
Planta: Johana Fagua
Jessica Orjuela 
Iván Camilo Ibagos
Diana Chávez
Contratistas: 
Ricardo Alvárez
Enrique Linero
Mauricio Díaz 
Nancy García
Auxiliar Administrativa Magdalena Coronado</t>
  </si>
  <si>
    <t xml:space="preserve">Estudios de amenaza, vulnerabilidad y riesgos por movimientos en masa en el poligono los Laches </t>
  </si>
  <si>
    <t xml:space="preserve">Conceptos Técnicos para Proyectos Públicos 
Líder Grupo Funcional Claudio Hozman </t>
  </si>
  <si>
    <t xml:space="preserve">Conceptos Técnicos Proyectos Públicos
Líder Grupo Funcional Claudio Hozman </t>
  </si>
  <si>
    <t xml:space="preserve">Conceptos proyectos públicos
Líder Grupo Funcional: 
Claudio Gerardo Hozman Mora
 Profesional Especializado 23 
Ana Yolanda Fonseca
Contratistas: 
María Andrea León
Andrés Canti
José Felipe Castro 
Auxiliar Administrativo: Maria del Pilar Prieto </t>
  </si>
  <si>
    <t>Conceptos Planificación Territorial 
19 Contratos de prestación de servicios</t>
  </si>
  <si>
    <t>Aunar esfuerzos técnicos, administrativos y financieros que permitan realizar el monitoreo y la elaboración de productos meteorológicos de seguimiento para fortalecer el Sistema de Alerta de Bogotá.</t>
  </si>
  <si>
    <t>Proyecto de evaluación de daños de edificaciones por sismo (Metodología, formatos, base de datos del grupo evaluador)</t>
  </si>
  <si>
    <t>Escenarios de daños por sismo actualizados que permita establecer las estrategias y mecanismos para la reducción del riesgo sísmico</t>
  </si>
  <si>
    <t>Modelaciones de riesgo en los sistemas disponibles en la entidad, incluyendo procesamiento de información, ejecución de las herramientas y post procesamiento de los resultados.</t>
  </si>
  <si>
    <t>Nº modelaciones de Escenarios de riesgo ejecutadas/No Escenarios de riesgo programadas</t>
  </si>
  <si>
    <t xml:space="preserve">Escenarios de Riesgos
Líder Grupo Funcional: Lina María Hernández O
Contratista: 
Sergio Ramírez - Profesional Movimientos en Masa
Wilson Molina -Tecnológico 
Contratista Incendios Forestales Subd. Emergencias 
Funcionarios:
Libardo Tinjaca Riesgo Sísmico
Camilo Espinosa Inundaciones
Prof. Subd. Emergencias Aglomeraciones Público
Grupo Conocimiento riesgo sísmico, Contratista Fernando Díaz </t>
  </si>
  <si>
    <t>Escenarios de Riesgos
Líder Funcional: Lina María Hernández O
Contratista: 
Sergio Ramírez - Profesional Movimientos en Masa
Wilson Molina - Tecnológico 
Contratistas Incendios Forestales 
Angelica Monsalve - Construcciones
Rodrigo Suárez- Cambio Climático
Laura Neria 
Julio César Prieto
Funcionarios:
Libardo Tinjaca  Riesgo Sísmico
Camilo Espinosa Inundaciones
Prof. Subd. Emergencias Aglomeraciones Público
Grupo Conocimiento riesgo sísmico, Contratista Fernando Díaz</t>
  </si>
  <si>
    <t>Conceptos Planificación Territorial
Planta: Nubia Ramírez 
Contratistas: Edwin Parra 
Luz Marina Durán 
Adriana Zambrano
Edwin Castillo</t>
  </si>
  <si>
    <r>
      <t xml:space="preserve">Diana Patricia Arévalo Sánchez 
</t>
    </r>
    <r>
      <rPr>
        <sz val="10"/>
        <rFont val="Arial"/>
        <family val="2"/>
      </rPr>
      <t>Subidrectora de Análisis de Riesgos y Efecto del Cambio Climático</t>
    </r>
  </si>
  <si>
    <r>
      <rPr>
        <b/>
        <sz val="10"/>
        <rFont val="Arial"/>
        <family val="2"/>
      </rPr>
      <t>Jorge Enrique Angarita López</t>
    </r>
    <r>
      <rPr>
        <sz val="10"/>
        <rFont val="Arial"/>
        <family val="2"/>
      </rPr>
      <t xml:space="preserve"> -
 Jefe de la Oficina Asesora de Planeación</t>
    </r>
  </si>
  <si>
    <r>
      <t xml:space="preserve">Richard Alberto Vargas Hernández - 
</t>
    </r>
    <r>
      <rPr>
        <sz val="10"/>
        <rFont val="Arial"/>
        <family val="2"/>
      </rPr>
      <t>Director General IDIGER</t>
    </r>
  </si>
  <si>
    <r>
      <t xml:space="preserve">Elsa Lucía Trujillo Romero 
</t>
    </r>
    <r>
      <rPr>
        <sz val="10"/>
        <rFont val="Arial"/>
        <family val="2"/>
      </rPr>
      <t>Contratista 
Subdirección de Análisis de Riesgos y Efecto del Cambio Climático</t>
    </r>
  </si>
  <si>
    <r>
      <rPr>
        <b/>
        <sz val="10"/>
        <rFont val="Arial"/>
        <family val="2"/>
      </rPr>
      <t xml:space="preserve">Claudia Liliana Guerrero </t>
    </r>
    <r>
      <rPr>
        <sz val="10"/>
        <rFont val="Arial"/>
        <family val="2"/>
      </rPr>
      <t xml:space="preserve">
Prof. Oficina Asesora de Planeación</t>
    </r>
  </si>
  <si>
    <r>
      <rPr>
        <b/>
        <sz val="10"/>
        <rFont val="Arial"/>
        <family val="2"/>
      </rPr>
      <t xml:space="preserve">Diana Patricia Arévalo Sánchez </t>
    </r>
    <r>
      <rPr>
        <sz val="10"/>
        <rFont val="Arial"/>
        <family val="2"/>
      </rPr>
      <t xml:space="preserve">
Subidrectora de Análisis de Riesgos y Efecto del Cambio Climático</t>
    </r>
  </si>
  <si>
    <t>POT
César Peña 
Coordinador POT
18 Profesionales 
Talleres OT</t>
  </si>
  <si>
    <t>Escenarios de Riesgos
Líder Grupo Funcional: Lina María Hernández Ortíz
Contratista: Diana Carolina López
Universidad La Salle</t>
  </si>
  <si>
    <t xml:space="preserve">En el mes de Julio de acuerdo con los avances presentados a la Dirección sobre los Estudios previos para el estudio de riesgo climático, se  tomó la determinación de avanzar en el reconocimiento de las metas de PDD con relación a las metas de Adaptación y Mitigación al Cambio Climático, así como las metas prioritarias por las entidades del SDGR-CC, en este sentido, el Estudio de riesgo climático no se ejecutará este año.  </t>
  </si>
  <si>
    <t>El estudio no se ejecutará este año.</t>
  </si>
  <si>
    <t xml:space="preserve">Grupo conocimiento riesgo sísmico
Lider: Fernando Díaz
Contratista: Julio César Prieto </t>
  </si>
  <si>
    <t>Grupo conocimiento riesgo sísmico
Lider:  Fernando Díaz
Contratista: Fernando Ospina</t>
  </si>
  <si>
    <t xml:space="preserve">Contratistas: 
Alvaro González 
Víctor Barrantes
Katherine Rodríguez 
</t>
  </si>
  <si>
    <t xml:space="preserve">Se ha realizado el seguimiento mensual al desarrollo de las actividades de los contratistas y se han suscrito certificaciones de cumplimiento. </t>
  </si>
  <si>
    <t>Líder Grupo Funcional: Consuelo Sánchez 
Profesional Especializado 222-23 Camilo Espinosa</t>
  </si>
  <si>
    <t>Estudios y Diseños 
Líder Grupo Funcional: Consuelo Sánchez 
Contratista: Valmore Bocanegra</t>
  </si>
  <si>
    <t xml:space="preserve">No presenta avance. </t>
  </si>
  <si>
    <t>Elaboración, publicación y socialización de un procedimiento a cargo de Escenarios de Riesgo</t>
  </si>
  <si>
    <t xml:space="preserve">Estructuración de la base de  información de intervenciones y documentación de la evolución de las áreas con condición de riesgo por movimientos en masa con codificación de cuenca. </t>
  </si>
  <si>
    <t>Conceptos proyectos públicos
Profesional Especializado Nuevo
Contratista: Jaime Alexander Sierra</t>
  </si>
  <si>
    <t>Se elaboró el Procedimiento para la elaboración de Certificaciones de Riesgo y Conceptos Técnicos para Proyectos Públicos y se encuentra en revisión en la Oficina Asesora de Planeación de la entidad.</t>
  </si>
  <si>
    <t xml:space="preserve">Los formatos “Soporte de visita técnica Nº A - GAR-FT-01” y “Soporte de visita técnica Nº B - GAR-FT-04” ya fueron publicados en la intranet. </t>
  </si>
  <si>
    <t xml:space="preserve">Se ha realizado la reprogramación mensual del PAC, de acuerdo con los lineamientos establecidos por presupuesto. </t>
  </si>
  <si>
    <t xml:space="preserve">Se ha orientado el cumplimiento de las obligaciones contractuales de los profesionales a cargo, de acuerdo a los productos planeados dentro del sistema de alerta. </t>
  </si>
  <si>
    <t>Se realizó reunión con estudios y diseños con el fin de interrelacionar el procedimiento de validación de información geográfica con el procedimeinto de estudios y diseños para la reducción del riesgo, con el fin de generar un procedimento independiente para SARECC.
Se da inicio a la elaboración del procedimeinto de gestión de solicitudes de información geográfica, se encuentra en proceso de revisión y ajuste por parte del grupo para pasar a revisión a la Oficina Asesora de Planeación, se crea instructivo para la calsificación y nomenclatura de los requerimientos.
Hacen falta los documentos anexos.</t>
  </si>
  <si>
    <t>Se recibe documento por parte de la Oficina Asesora de Planeación,  el documento está en proceso de validación.
Hacen falta los documentos anexos.</t>
  </si>
  <si>
    <t>Se tiene versión final para remitir a SDP:
* Zonificación de amenaza por movimientos en masa, urbano y rural.
* Documento técnico de soporte del mapa de amenaza por movimientos en masa urbano y rural.</t>
  </si>
  <si>
    <t>Se tiene versión final para remitir a SDP:
* Zonificación de amenaza por avenidas torrenciales, urbano y rural.
* Documento técnico de soporte del mapa de amenaza por avenidas torrenciales urbano y rural.</t>
  </si>
  <si>
    <t>Se tiene versión final para remitir a SDP:
* Zonificación de amenaza por inundación por desbordamiento, urbano.
* Documento técnico de soporte del mapa de amenaza por inundación por desbordamiento urbano.</t>
  </si>
  <si>
    <t>*Se realizaron reuniones de socialización con Secretaría Distrital de Planeación, para mostrar avances y encaminar esfuerzo para el articulado. 
 *Se terminan últimos contratos de supervisión con objetos directos del proyecto POT, únicamente quedará vigente contrato de Cesar Peña hasta mitad de Octubre. 
*Se está a la espera de información definitiva de SDP para poder avanzar con temas pendientes cómo el mapa de áreas de condición de riesgo.
*Se espera aval de SARECC y la Dirección del IDIGER para entrega de productos finales a SDP.</t>
  </si>
  <si>
    <t xml:space="preserve">Se ha realizado el seguimiento mensual al desarrollo de las actividades de los contratistas del grupo Conceptos técnicos para proyectos públicos. 
Convenio 411-2014 se está atento a surtír el trámite para devolución de los recursos no ejecutados al Fondo de Desarrollo Local de Suba.
Convenio 429 de 2014 Está pendiente la liquidación del convenio. </t>
  </si>
  <si>
    <t xml:space="preserve">Se ha realizado seguimiento a los 4 contratos de prestación de servicios. </t>
  </si>
  <si>
    <t xml:space="preserve"> Se ha realizado el seguimiento a los 4 contratos de prestación de servicios. 
* Contrato Topografía: Se ha realizado monitoreo topográfico, levantamiento catastral predial. 
* Universidad Distrital: Se continua realizando el monitoreo topográfico, geotécnico y estructural.  
* JAM Ingeniería: presenta un 90% de avance en la ejecución, se realiza revisión del producto final. </t>
  </si>
  <si>
    <t>Componente</t>
  </si>
  <si>
    <t>Presupuesto apropiado</t>
  </si>
  <si>
    <t>Compromisos IDIGER 30-09-2017</t>
  </si>
  <si>
    <t>Caracterización de Riesgos</t>
  </si>
  <si>
    <t xml:space="preserve">Análisis de Riesgos </t>
  </si>
  <si>
    <t>Ajuste y seguimiento a la Ejecución del Plan Distrital de Gestión de Riesgos y Cambio Climático</t>
  </si>
  <si>
    <t>Compromisos FONDIGER 2017 
30-09-2017</t>
  </si>
  <si>
    <t>Compromisos 2016 FONDIGER
 30-09-2017</t>
  </si>
  <si>
    <t>Escenarios de Riesgos 
6 Prestaciones de Servicios 
1 Universidad de la Salle
Apoyo a la supervisión convenios: 
 Ciudad Río, ERU y AMVA</t>
  </si>
  <si>
    <t xml:space="preserve">Asistencia Técnica 
5 Contratos de prestación de servicios </t>
  </si>
  <si>
    <t xml:space="preserve">Conceptos Proyectos Públicos
4 Contratos de prestación de servicios
Convenio 429-2014 Jardin Botánico 
Convenio 411-2014 Fondo Local de Suba </t>
  </si>
  <si>
    <t xml:space="preserve">Estudios y Diseños 
 4 contratos de prestación de servicios 
1 Contrato de Topografia Nicolás Romero
Convenio: Universidad Distrital Franciso José Caldas
Consultorías: CIC. Consultores de Ingeniería Cimentaciones S.A.S.
JAM Ingeniería y Medio Ambiente S.A.S.
Convenios con UMV:
 581-2010 Codito 
701-2009 La Marqueza 
537-2010 San José Del Vaticano 
602-2010 Socorro III 
Convenio 184 de 2014 Fondo Desarrollo Local Usme 
Convenio 001 de 2015 Jardín Botánico </t>
  </si>
  <si>
    <t>Monitoreo de Riesgos
3 Contratos de prestación de servicios 
Consultoría Canal Clima 
Convenio Universidad de La Salle 
Convenio CAR - IDIGER</t>
  </si>
  <si>
    <t xml:space="preserve">Conceptos técnicos para planificación territorial elaborados / Conceptos técnicos para planificación territorial programados 
</t>
  </si>
  <si>
    <t>Conceptos Planificación Territorial
Planta: Nubia Ramírez 
Contratistas: Luis Alberto Rojas 
Giovanni Cuervo
Liz Jessica Olaya 
Luisa Fernanda Alvarado
Valeria Cardona
Nelson Serrano
Francisco Salas
Nicolás Giraldo
Maria Camila Osorio
Wendy Herrera
Danny Hernández
Daniel Bermudez</t>
  </si>
  <si>
    <t>Se realizó revisión de la norma ISO 2015 para su implementación en el procedimiento., especificamente el capitulo de diseño y desarrollo para su implementación y  su actualización en el procedimiento.</t>
  </si>
  <si>
    <t xml:space="preserve">El producto se desarrollo en durante el período de Febrero a Junio de 2017. </t>
  </si>
  <si>
    <t xml:space="preserve">Estructuro propuesta  a la  Subdirección de Análisis de Riesgos y Efectos del Cambio Climático con información generada por los Escenarios de Riesgo.
Elaboro el guion y el storyboard sobre la Caracterización General del Distrito Capital, información suministrada a comunicaciones para la elaboración del video. </t>
  </si>
  <si>
    <t xml:space="preserve">Se tiene versión final para remitir a SDP:
* Zonificación de amenaza por movimientos en masa para centros poblados.
* Documento técnico de soporte del mapa de amenaza por movimientos en masa para centros poblados.
* Zonificación de amenaza por movimientos en masa para nodos de equipamientos.
*Se cuenta con información para emisión de conceptos con información para Nodos de equipamientos. </t>
  </si>
  <si>
    <t xml:space="preserve">Se tiene versión final para remitir a SDP:
* Zonificación de amenaza por  incendios forestales  la cual se ajusto con la información de cobertura de la CAR y de la SDP.
*Documento técnico de soporte para el mapa de amenaza por incendios forestales. 
</t>
  </si>
  <si>
    <t>Se tiene versión final para remitir a SDP:*
*Mapa de áreas con condición de amenaza, el cual fue elaborado con la capa remitida por parte de SDP.
*Documento técnico de soporte para el mapa de àreas con condición de amenaza.</t>
  </si>
  <si>
    <t>Se tiene versión final para remitir a SDP:*
*Mapa de áreas con condición de riesgo.
*Documento técnico de soporte para el mapa de àreas con condiciòn de riesgo.</t>
  </si>
  <si>
    <t>Se tiene versión final para remitir a SDP:*
*Mapa de Suelos de Protección por Riesgo de áreas en riesgo alto no mitigable y amenaza alta no urbanizable.
*Documento técnico de soporte para el mapa de Suelos de Protecciòn por Riesgo.</t>
  </si>
  <si>
    <t>Informe de Gestión diciembre
Versión  final actualizada de Acuerdo y proyecto de decreto, propuesta de Documento Ténico de Soporte y Exposición de Motivos para el Decreto que en proyección adopta el PDGR-CC.
Informe de ejecución de metas del PDGR-CC vigente a la actualidad.</t>
  </si>
  <si>
    <t>De la base de edificaciones se calcularon estadisticas por cantidad y area construida de 6 variables.
Se logró actualizar la capa de efectos de sitio en Sismarb.</t>
  </si>
  <si>
    <t>Ajustes y complementos de documentos precontratuales y contractuales para cursos de inspección con la Universidad Nacional.
Revisión del prototipo del formulario y aplicativo de inspección de edificaciones con TIC.
Reuniones iniciales con UNAL para los cursos, plan de trabajo y ajsute del material tecnico.</t>
  </si>
  <si>
    <t>Se emitieron sesenta (60) conceptos técnicos para legalización de barrios con cobertura en quince localidades donde se evaluaron 2.389 predios. Para regularización se emitieron dos (2) conceptos en las localidades de Usaquén y San Cristóbal, donde se evaluaron 1.452 predios, para un total de cobertura en 3.841 predios evaluados en quince localidades.</t>
  </si>
  <si>
    <t xml:space="preserve">Se puso en consideración de los profesionales de la Subdirección de Análisis de Riesgos y Efectos del Cambio Climático la propuesta de modificacion de la resolución 227 y se ajustó de acuerdo a los comentarios efectuados. Actualmente se cuenta con la propuesta técnica, una versión preliminar de la propuesta normativa y una presentación que evidencia los cambios principales de esta versión con relación a la resolución 227. </t>
  </si>
  <si>
    <t xml:space="preserve">Se emitieron 877 diagnósticos técnicos asociados a las solicitudes radicadas por la comunidad y entidades del Distrito. </t>
  </si>
  <si>
    <t xml:space="preserve">Se emitieron 257 diagnósticos técnicos asociados a la atención de emergencias </t>
  </si>
  <si>
    <t>Se ha verificado la elaboración de productos para publicar en la página web del SAB relacionados con tormentas eléctricas y pronóstico del tiempo. Respecto al pronóstico, éste ya se viene publicando en un nuevo formato institucional.</t>
  </si>
  <si>
    <t>Se han realizado avances en la visualización de la página web relacionados con lluvias en tiempo real y en la cual es posible observar histogramas de aguaceros en un período las últimas 6 horas.</t>
  </si>
  <si>
    <t>Dentro del Convenio específico con el IDEAM se ha venido generando reportes de pronóstico y de tormentas eléctricas con normalidad. Se está publicando el pronóstico en nuevo formato institucional. Los productos se publican en la página web del SAB.</t>
  </si>
  <si>
    <t>La oficina TIC estuvo al frente del proceso contractual que logró la adjudicación de la adquisición de nuevo hardware para el SAB y la SARECC.</t>
  </si>
  <si>
    <t>Se cuenta con 7 estaciones de nivel cargadas en la página web del SAB.</t>
  </si>
  <si>
    <t>La información hidrometeorológica registrada por las estaciones del IDIGER se valida diariamente para la generación de mapas de lluvias que se publican a través de la página web del SAB. Se ha venido trabajando con el apoyo de TIC en el desarrollo de un visor de BD para descargar datos a través de la página web.</t>
  </si>
  <si>
    <t>Se definió y ajustó el formato para la publicación de información procesada con datos de la Red de Acelerógrafos del IDIGER. Este formato incluyó la elaboración de un script para procesamiento semiautomático de las señales. Con el nuevo formato se elaborará el catálogo de eventos sísmicos del año 2016.</t>
  </si>
  <si>
    <t>El monitoreo en tiempo real del radar y la red hidrometeorológica se ha venido realizando con normalidad.</t>
  </si>
  <si>
    <t xml:space="preserve">Se ha continuado con la publicación de nubosidad registrada por el radar meteorológico, información de lluvias en tiempo real, lluvias diarias y acumuladas, niveles de cauces, reportes sísmicos, pronósticos del estado del tiempo y descarga de rayos a través de la página web del SAB. </t>
  </si>
  <si>
    <t>Se ha apoyado en el suministro y ajuste de información para la construcción de planes de contingencia.</t>
  </si>
  <si>
    <t xml:space="preserve">Durante este mes se realizó visita conjunta a la cuenca del río Fucha para la búsqueda de sitios donde la UNISALLE instalará las nuevas estaciones dentro del desarrollo del sistema de alerta por crecientes súbitas. De igual forma se recibió primer informe de avance del proyecto el cual fue revisado por IDIGER y ajustado por UNISALLE según observaciones. </t>
  </si>
  <si>
    <t xml:space="preserve">El proceso contractual para adquisición de nuevas estaciones pluviométricas fue adjudicado a la firma ACERTA y se encuentra en ejecución. </t>
  </si>
  <si>
    <t>El proceso contractual para adquisición de nuevas estaciones hidrológicas fue adjudicado a la firma APCITEL.</t>
  </si>
  <si>
    <t>Se gestionó una prórroga y adición al contrato actualmente en curso a la firma ISEC que permita la ampliación del sistema de comunicaciones de banda ancha a las estaciones del IDIGER. Este proceso se encuentra a cargo del grupo de redes de la oficina TIC.</t>
  </si>
  <si>
    <t>Se han desarrollado los trabajos de perforación para la instalación del sensor de profundidad y superficie en la Escuela General Santander, no obstante, este mes no se podrán dejar instalados. Los equipos ya fueron suministrados al IDIGER para que fueran ingresados al inventario de la entidad.</t>
  </si>
  <si>
    <t xml:space="preserve">La instalación de los siete (7) nuevos equipos donados por JICA se desarrolló en su totalidad por parte del personal del grupo de redes de la oficina TIC. </t>
  </si>
  <si>
    <t xml:space="preserve">Con corte 31-12-2017 se han emitido 3196 certificaciones de riesgo. </t>
  </si>
  <si>
    <t xml:space="preserve">Estructuración de información correspondiente a conceptos técnicos 2016, y parte de 2015.
A corte de Diciembre se desarrollo la estructuración  de 7 conceptos técnicos, suelos de protección por riesgo, amenaza alta no urbanizable, alto riesgo no mitigable. </t>
  </si>
  <si>
    <t>No se presenta avance. No obstante, se reprogramó como fecha máxima para elaboración y remisión de los procedimientos el 31 de enero de 2018.</t>
  </si>
  <si>
    <t>Se recibió por parte de la Secretaría Distrital de Planeación la capa de suelos de proteccion por riesgo, la cual fue utilizada para validar y complementar la capa base entregada al POT para su actualización; asimismo, Se apoyó la realización del documento tecnico de soporte de la misma.</t>
  </si>
  <si>
    <t xml:space="preserve">Se aprobó el procedimiento a cargo de Escenarios de riesgo. </t>
  </si>
  <si>
    <t>Durante el periodo se ha desarrollado los siguientes componentes funcionales:
1. La virtualización de formulario de solicitud de certificaciones
2. La generacion del archivo pdf de la solicitud, el envio de correo electronico al coordinador
3. La conexión al servicio CORDIS para obtener un numero de radicado automatico
4. Un modulo de administrasción para consultar el estado, asignar y cerrar los procesos de certificados
5. Un acceso mediante usuario y contraseña
6. La georeferenciación (localidad, upz, barrio) del domicilio del predio a certificar</t>
  </si>
  <si>
    <t xml:space="preserve">Se cuenta con informes de supervisión para los contratos PS-184 y 189 de 2017, para los meses de abril a diciembre de 2017.
PS 184 de 2017 Ejecutado 100,00 % del presupuesto
PS 189 de 2017 Ejecutado 100,00 % del presupuesto.
Para el contrato 184 de 2017 se hizo adición por 19 días y en dinero de  $ 3.930.467
</t>
  </si>
  <si>
    <t xml:space="preserve">Durante el periodo se orientaron las acciones para el cumplimiento de las obligaciones contractuales de las prestaciones de servicio a cargo. 
Se realizaron los informes  supervisión correspondientes, los cuales se remitiran a la oficina Asesora Juridica. </t>
  </si>
  <si>
    <t xml:space="preserve">Durante el mes de Diciembre se elaboró el documento de Dinámicas de riesgo del Escenario de Cambio Climático y el avance del documento de Dinámicas de riesgo del Escenario de construcciones. </t>
  </si>
  <si>
    <t>Durante el mes de Diciembre se tiene la versión del documento de Dinámicas de riesgo del escenario de inundación, Movimientos en Masa y Tecnológico</t>
  </si>
  <si>
    <t xml:space="preserve">Se realizó la actualización y publicación en la página Web de los Escenarios de Riesgo  Incendios Forestales, Inundación, tecnológico.  </t>
  </si>
  <si>
    <t xml:space="preserve">Se consolidó estadisticamente la información de instrumentos de gestión de riesgos por los escenarios de riesgo, información incluida en el documento Dinámicas de riesgo. </t>
  </si>
  <si>
    <t xml:space="preserve">
Orientación de las inversiones de las Alcaldías Locales de Usme en el marco de la Directiva 012 de 2016. 
Existe una propuesta de priorizaciones de acciones en los tres procesos de Gestión de riesgos, sin embargo se está retroalimentando en el marco de los avances de las dinámicas de gestión de riesgo, por cada escenario de riesgo.</t>
  </si>
  <si>
    <t>Aclaraciones y recomendaciones para el material del tema sísmico de la la charla diaria con Claudia Coca.</t>
  </si>
  <si>
    <t>El avance a corte de 31 de diciembre es: revisión total de ejemplares de 63 años. De los años revisados se han capturaron a la fecha 2.072 y se han cargado 1.390 noticias que reportan emergencias en el Distrito.</t>
  </si>
  <si>
    <t>*Se realizó reunión con la Secretaría Distrital de Planeación donde se indicó que aún continua trabajando en la estructura para el articulado, la cual sigue en discusión y no se tiene una versión definitiva por lo que no la ha suministrado al IDIGER.
*Por lo anterior solo se avanzó parcialmente en la matriz de soporte para el articulado y no se tuvieron avances en la formulación de programas y proyectos para la incorporación de gestión de riesgos en el ordenamiento territorial. 
Se realizó la divulgación de los resultados de los mapas generados  para la revisión del POT y que serviran para la incorporación de la gestiòn de riesgo en el POT.</t>
  </si>
  <si>
    <t xml:space="preserve">Se contó con el apoyo logístico con las dos actividades programadas por la SARECC. </t>
  </si>
  <si>
    <t xml:space="preserve">* Se adjudicó el contrato de consultoría  para el diseño detallado de obras de mitigación por movimientos en masa para la Ciudadela Santa Rosa en la localidad de San Cristóbal. 
* Se adjudicó el contrato de interventoría técnica, administrativa y financiera del diseño detallado de obras de mitigación por movimientos en masa para la Ciudadela Santa Rosa en la localidad de San Cristóbal. </t>
  </si>
  <si>
    <t>*  Se adjudicó el estudio para la contratación de los estudios y diseños de obras de emergencia en sitios de intervención prioritaria en la ciudad de Bogotá, D.C.. 
* Se adjudicó la contratación de la interventoría técnica, administrativa y financiera de estudios y diseños de obras de emergencia en sitios de intervención prioritaria en la ciudad de Bogotá, D.C.</t>
  </si>
  <si>
    <t>El 15 de agosto se suscribió el Convenio Interadministrativo de Cooperación 317-2017 entre la Secretaría de Educación Distrital – SED y el IDIGER y en cumplimiento con las obligaciones del IDIGER mencionados en el convenio se realizó la formulación para el concurso de méritos para la contratación del estudio detallado de amenaza y riesgo por movimientos en masa y diseños de medidas de mitigación en el Barrio Los Laches de la localidad de Santa Fe en Bogotá D.C. y se publicó en el portal de contratación estatal SECOP.
Se adjudicó el contrato de consultoria e Interventoria del estudio detallado de amenaza y riesgo por movimientos en masa y diseños de medidas de mitigación en el Barrio Los Laches de la localidad de Santa Fe en Bogotá D.C.</t>
  </si>
  <si>
    <t>La Subdirección Corporativa y Asuntos Disciplinarios adelantó el proceso de contratación de transporte especial para el desarrollo de las actividades que tiene a cargo el IDIGER como coordinador del Sistema Distrital de Gestión de Riesgos y Cambio Climático - SDGR-CC, el contrato se adjudicó el 19 de septiembre de 2017, actualmente tiene un avance de ejecución de $55.749.547 para un total de 215 camionetas solicitadas a 31 de  Diciembre de 2017.</t>
  </si>
  <si>
    <t>Se realizó recorridos en los sector con mayor recurrencia de eventos de emergencia con el área de reducción de Riesgos y Adaptación al Cambio Climático con el fin determinar acciones en los sectores priorizados.</t>
  </si>
  <si>
    <t>Se remitió la propuesta de modificación de la Resolución 600 de 2015 para comentarios de la Subdirección y de la Oficina Jurídica.</t>
  </si>
  <si>
    <t>Estadisticas de la información catastral.
Procesamiento de la capa de efectos de sitio.
Corridas de prueba de tres escenarios históricos.</t>
  </si>
  <si>
    <t>Se realizó presentación de avances al Director,  se avanzó en el DTS del proyecto y se realizaron reuniones con las Secretarias de Salud y Gobierno.</t>
  </si>
  <si>
    <t>Grupo conocimiento riesgo sísmico
Lider:  Fernando Díaz
Profesional Especializado 222-23 Libardo Tinjaca</t>
  </si>
  <si>
    <t xml:space="preserve">Se realizó la revisión de la última versión del documento soporte y el formato de Excel elaborado para la recolección de la información mínima necesaria para los establecimientos industriales; como resultado de la revisión se realizaron cambios de forma en los documentos elaborados. </t>
  </si>
  <si>
    <t>Se revisaron treinta y nueve (39) estudios detallados por amenaza y riesgo por movimiento en masa, en el marco de cumplimiento de la Resolución 227 de 2006, para el trámite de emisión de licencias de urbanización y se emitieron los conceptos que corresponden a 14 proyectos, con un área estudiada de 12.96 hectáreas.</t>
  </si>
  <si>
    <t xml:space="preserve">Se emitieron 11 conceptos de planes parciales emitidos en las siguientes localidades, tres (3) en Usaquén, uno (1)  localidad Santa Fe, uno (1) San Cristóbal, uno (1) Fontibón,  y cinco (5) en la localidad de Suba, con lo cual se contribuye a la viabilización que debe realizar la Secretaria Distrital de Planeación, para el desarrollo urbanístico de 370.9 hectáreas.
</t>
  </si>
  <si>
    <t>Se delimitaron y priorizaron las zonas en alto riesgo donde se han identificado predios de manera individual en sectores donde en el pasado se presentaron procesos de remoción en masa que generaron reasentamientos de familias localizadas en zonas de alto riesgo no mitigable. Zonas donde se busca actualizar su condición de amenaza y riesgo. Adicionalmente, se identificaron conceptos técnicos para actualización de la condición de amenaza y riesgo de conceptos antiguos. Se elaboró y entregó el informe final de la gestión adelantada al Ing. Jesús Rojas Ochoa, Lider del grupo de Conceptos para Planificación Territorial.</t>
  </si>
  <si>
    <t>Se emitieron ciento dos (102) conceptos técnicos de amenaza ruina dentro de actuaciones administrativas y procesos policivos, de los cuales se presenta mayor porcentaje en la localidad de Santa Fe con un 22%. De acuerdo con los conceptos emitidos por la entidad, se concluye que de las edificaciones emplazadas en los predios evaluados sesenta y nueva (69) presentan Amenaza Ruina; dado que se identificaron en los mismos daños severos, fuertes y moderados en los elementos estructurales y no estructurales que las conforman. Así mismo, se pudo establecer que las 33 edificaciones restantes no presentan daños que puedan comprometer su estabilidad estructural, por lo que las mismas no amenazan ruina; sin embargo se dieron las recomendaciones pertinentes para garantizar las condiciones adecuadas para su uso durante su vida útil.</t>
  </si>
  <si>
    <t xml:space="preserve">Se realizó el seguimiento a los planes de mejoramiento de la Contraloría y el institucional. 
De acuerdo con la auditoría interna, quedaron oportunidades de mejora para la SARECC, y teniendo en cuenta lo solicitado por la OAP se formuló el plan de mejoramiento.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</si>
</sst>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_(&quot;$&quot;\ * \(#,##0.00\);_(&quot;$&quot;\ * &quot;-&quot;??_);_(@_)"/>
    <numFmt numFmtId="164" formatCode="_-* #,##0.00\ _€_-;\-* #,##0.00\ _€_-;_-* &quot;-&quot;??\ _€_-;_-@_-"/>
    <numFmt numFmtId="165" formatCode="0.0%"/>
    <numFmt numFmtId="166" formatCode="_(&quot;$&quot;\ * #,##0_);_(&quot;$&quot;\ * \(#,##0\);_(&quot;$&quot;\ * &quot;-&quot;??_);_(@_)"/>
    <numFmt numFmtId="167" formatCode="_-* #,##0\ _€_-;\-* #,##0\ _€_-;_-* &quot;-&quot;??\ _€_-;_-@_-"/>
    <numFmt numFmtId="168" formatCode="[$$-240A]\ #,##0_ ;\-[$$-240A]\ #,##0\ "/>
    <numFmt numFmtId="169" formatCode="&quot;$&quot;\ #,##0"/>
    <numFmt numFmtId="170" formatCode="[$-C0A]mmm\-yy;@"/>
    <numFmt numFmtId="171" formatCode="#,##0_ ;\-#,##0\ "/>
  </numFmts>
  <fonts count="42" x14ac:knownFonts="1">
    <font>
      <sz val="10"/>
      <name val="Arial"/>
    </font>
    <font>
      <sz val="10"/>
      <color indexed="8"/>
      <name val="Arial"/>
      <family val="2"/>
    </font>
    <font>
      <b/>
      <sz val="28"/>
      <color indexed="8"/>
      <name val="Arial"/>
      <family val="2"/>
    </font>
    <font>
      <b/>
      <sz val="10"/>
      <color indexed="8"/>
      <name val="Arial Narrow"/>
      <family val="2"/>
    </font>
    <font>
      <b/>
      <sz val="24"/>
      <color indexed="8"/>
      <name val="Arial"/>
      <family val="2"/>
    </font>
    <font>
      <b/>
      <sz val="20"/>
      <color indexed="8"/>
      <name val="Arial"/>
      <family val="2"/>
    </font>
    <font>
      <b/>
      <sz val="10"/>
      <color indexed="8"/>
      <name val="Arial"/>
      <family val="2"/>
    </font>
    <font>
      <sz val="11"/>
      <color indexed="8"/>
      <name val="Arial"/>
      <family val="2"/>
    </font>
    <font>
      <b/>
      <sz val="11"/>
      <color indexed="8"/>
      <name val="Arial"/>
      <family val="2"/>
    </font>
    <font>
      <b/>
      <sz val="12"/>
      <color indexed="8"/>
      <name val="Arial"/>
      <family val="2"/>
    </font>
    <font>
      <sz val="14"/>
      <color indexed="8"/>
      <name val="Arial"/>
      <family val="2"/>
    </font>
    <font>
      <sz val="9"/>
      <color indexed="8"/>
      <name val="Arial"/>
      <family val="2"/>
    </font>
    <font>
      <sz val="9"/>
      <color indexed="81"/>
      <name val="Tahoma"/>
      <family val="2"/>
    </font>
    <font>
      <sz val="10"/>
      <name val="Arial"/>
      <family val="2"/>
    </font>
    <font>
      <sz val="10"/>
      <name val="Arial"/>
      <family val="2"/>
    </font>
    <font>
      <b/>
      <sz val="10"/>
      <name val="Arial"/>
      <family val="2"/>
    </font>
    <font>
      <sz val="11"/>
      <color indexed="10"/>
      <name val="Arial"/>
      <family val="2"/>
    </font>
    <font>
      <sz val="11"/>
      <name val="Arial"/>
      <family val="2"/>
    </font>
    <font>
      <sz val="10"/>
      <color rgb="FF222222"/>
      <name val="Arial"/>
      <family val="2"/>
    </font>
    <font>
      <sz val="8"/>
      <color theme="1"/>
      <name val="Calibri"/>
      <family val="2"/>
      <scheme val="minor"/>
    </font>
    <font>
      <sz val="8"/>
      <color rgb="FF000000"/>
      <name val="Calibri"/>
      <family val="2"/>
      <scheme val="minor"/>
    </font>
    <font>
      <sz val="8"/>
      <color rgb="FF595959"/>
      <name val="Calibri"/>
      <family val="2"/>
    </font>
    <font>
      <sz val="10"/>
      <color theme="1"/>
      <name val="Arial"/>
      <family val="2"/>
    </font>
    <font>
      <sz val="10"/>
      <name val="Arial"/>
      <family val="2"/>
    </font>
    <font>
      <b/>
      <sz val="10"/>
      <name val="Arial Narrow"/>
      <family val="2"/>
    </font>
    <font>
      <b/>
      <sz val="9"/>
      <color indexed="81"/>
      <name val="Tahoma"/>
      <family val="2"/>
    </font>
    <font>
      <sz val="12"/>
      <name val="Arial"/>
      <family val="2"/>
    </font>
    <font>
      <b/>
      <sz val="12"/>
      <name val="Arial Narrow"/>
      <family val="2"/>
    </font>
    <font>
      <b/>
      <sz val="12"/>
      <name val="Arial"/>
      <family val="2"/>
    </font>
    <font>
      <b/>
      <sz val="14"/>
      <name val="Arial"/>
      <family val="2"/>
    </font>
    <font>
      <sz val="10"/>
      <name val="Arial"/>
      <family val="2"/>
    </font>
    <font>
      <b/>
      <sz val="16"/>
      <color indexed="8"/>
      <name val="Arial"/>
      <family val="2"/>
    </font>
    <font>
      <b/>
      <sz val="20"/>
      <name val="Arial"/>
      <family val="2"/>
    </font>
    <font>
      <b/>
      <sz val="28"/>
      <name val="Arial"/>
      <family val="2"/>
    </font>
    <font>
      <b/>
      <sz val="24"/>
      <name val="Arial"/>
      <family val="2"/>
    </font>
    <font>
      <b/>
      <sz val="11"/>
      <name val="Arial"/>
      <family val="2"/>
    </font>
    <font>
      <b/>
      <sz val="8"/>
      <name val="Arial"/>
      <family val="2"/>
    </font>
    <font>
      <sz val="9"/>
      <name val="Arial"/>
      <family val="2"/>
    </font>
    <font>
      <sz val="14"/>
      <name val="Arial"/>
      <family val="2"/>
    </font>
    <font>
      <b/>
      <sz val="16"/>
      <name val="Arial"/>
      <family val="2"/>
    </font>
    <font>
      <sz val="10"/>
      <color rgb="FFFF0000"/>
      <name val="Arial"/>
      <family val="2"/>
    </font>
    <font>
      <sz val="12"/>
      <color indexed="8"/>
      <name val="Arial"/>
      <family val="2"/>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3" tint="0.79998168889431442"/>
        <bgColor theme="4" tint="0.79998168889431442"/>
      </patternFill>
    </fill>
    <fill>
      <patternFill patternType="solid">
        <fgColor theme="3" tint="0.79998168889431442"/>
        <bgColor indexed="64"/>
      </patternFill>
    </fill>
    <fill>
      <patternFill patternType="solid">
        <fgColor theme="0" tint="-0.249977111117893"/>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theme="4"/>
      </top>
      <bottom/>
      <diagonal/>
    </border>
    <border>
      <left/>
      <right/>
      <top style="thin">
        <color theme="4"/>
      </top>
      <bottom style="thin">
        <color theme="4"/>
      </bottom>
      <diagonal/>
    </border>
    <border>
      <left/>
      <right/>
      <top/>
      <bottom style="thin">
        <color theme="4"/>
      </bottom>
      <diagonal/>
    </border>
    <border>
      <left/>
      <right/>
      <top style="thin">
        <color theme="3"/>
      </top>
      <bottom style="thin">
        <color theme="3"/>
      </bottom>
      <diagonal/>
    </border>
    <border>
      <left/>
      <right/>
      <top style="thin">
        <color theme="4"/>
      </top>
      <bottom style="thin">
        <color indexed="64"/>
      </bottom>
      <diagonal/>
    </border>
    <border>
      <left/>
      <right/>
      <top style="thin">
        <color theme="4"/>
      </top>
      <bottom style="thin">
        <color theme="3"/>
      </bottom>
      <diagonal/>
    </border>
    <border>
      <left/>
      <right/>
      <top/>
      <bottom style="thin">
        <color theme="3"/>
      </bottom>
      <diagonal/>
    </border>
  </borders>
  <cellStyleXfs count="6">
    <xf numFmtId="0" fontId="0" fillId="0" borderId="0"/>
    <xf numFmtId="44" fontId="14" fillId="0" borderId="0" applyFont="0" applyFill="0" applyBorder="0" applyAlignment="0" applyProtection="0"/>
    <xf numFmtId="0" fontId="13" fillId="0" borderId="0"/>
    <xf numFmtId="0" fontId="13" fillId="0" borderId="0"/>
    <xf numFmtId="164" fontId="23" fillId="0" borderId="0" applyFont="0" applyFill="0" applyBorder="0" applyAlignment="0" applyProtection="0"/>
    <xf numFmtId="9" fontId="30" fillId="0" borderId="0" applyFont="0" applyFill="0" applyBorder="0" applyAlignment="0" applyProtection="0"/>
  </cellStyleXfs>
  <cellXfs count="506">
    <xf numFmtId="0" fontId="0" fillId="0" borderId="0" xfId="0"/>
    <xf numFmtId="0" fontId="1" fillId="0" borderId="0" xfId="0" applyFont="1"/>
    <xf numFmtId="0" fontId="3" fillId="0" borderId="1" xfId="0" applyFont="1" applyBorder="1" applyAlignment="1">
      <alignment horizontal="center" vertical="center"/>
    </xf>
    <xf numFmtId="14" fontId="3" fillId="0" borderId="1" xfId="0" applyNumberFormat="1" applyFont="1" applyBorder="1" applyAlignment="1">
      <alignment horizontal="center" vertical="center"/>
    </xf>
    <xf numFmtId="0" fontId="1" fillId="3" borderId="0" xfId="0" applyFont="1" applyFill="1" applyBorder="1"/>
    <xf numFmtId="0" fontId="1" fillId="3" borderId="0" xfId="0" applyFont="1" applyFill="1" applyBorder="1" applyAlignment="1">
      <alignment horizontal="center"/>
    </xf>
    <xf numFmtId="0" fontId="2"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0" fontId="1" fillId="3" borderId="0" xfId="0" applyFont="1" applyFill="1"/>
    <xf numFmtId="0" fontId="1" fillId="0" borderId="0" xfId="0" applyFont="1" applyAlignment="1">
      <alignment horizontal="center" vertical="center"/>
    </xf>
    <xf numFmtId="0" fontId="13" fillId="0" borderId="0" xfId="0" applyFont="1"/>
    <xf numFmtId="0" fontId="18" fillId="4" borderId="0" xfId="0" applyFont="1" applyFill="1" applyAlignment="1">
      <alignment vertical="center" wrapText="1"/>
    </xf>
    <xf numFmtId="0" fontId="13" fillId="0" borderId="0" xfId="0" applyFont="1" applyAlignment="1">
      <alignment horizontal="left"/>
    </xf>
    <xf numFmtId="0" fontId="13" fillId="0" borderId="0" xfId="0" applyFont="1" applyAlignment="1">
      <alignment vertical="center"/>
    </xf>
    <xf numFmtId="0" fontId="18" fillId="0" borderId="0" xfId="0" applyFont="1" applyAlignment="1">
      <alignment vertical="center" wrapText="1"/>
    </xf>
    <xf numFmtId="0" fontId="18" fillId="0" borderId="0" xfId="0" applyFont="1"/>
    <xf numFmtId="0" fontId="13" fillId="4" borderId="0" xfId="0" applyFont="1" applyFill="1"/>
    <xf numFmtId="0" fontId="0" fillId="0" borderId="0" xfId="0" applyAlignment="1">
      <alignment horizontal="center" vertical="center"/>
    </xf>
    <xf numFmtId="0" fontId="19" fillId="5" borderId="16" xfId="1" applyNumberFormat="1" applyFont="1" applyFill="1" applyBorder="1" applyAlignment="1">
      <alignment horizontal="justify" vertical="center" wrapText="1"/>
    </xf>
    <xf numFmtId="0" fontId="20" fillId="0" borderId="16" xfId="0" applyFont="1" applyBorder="1" applyAlignment="1">
      <alignment horizontal="justify" vertical="center" wrapText="1"/>
    </xf>
    <xf numFmtId="0" fontId="19" fillId="5" borderId="17" xfId="1" applyNumberFormat="1" applyFont="1" applyFill="1" applyBorder="1" applyAlignment="1">
      <alignment horizontal="justify" vertical="center" wrapText="1"/>
    </xf>
    <xf numFmtId="0" fontId="20" fillId="0" borderId="18" xfId="0" applyFont="1" applyBorder="1" applyAlignment="1">
      <alignment horizontal="justify" vertical="center" wrapText="1"/>
    </xf>
    <xf numFmtId="0" fontId="20" fillId="0" borderId="19" xfId="0" applyFont="1" applyBorder="1" applyAlignment="1">
      <alignment horizontal="justify" vertical="center" wrapText="1"/>
    </xf>
    <xf numFmtId="0" fontId="20" fillId="0" borderId="17" xfId="0" applyFont="1" applyBorder="1" applyAlignment="1">
      <alignment horizontal="justify" vertical="center" wrapText="1"/>
    </xf>
    <xf numFmtId="0" fontId="20" fillId="0" borderId="0" xfId="0" applyFont="1" applyBorder="1" applyAlignment="1">
      <alignment horizontal="justify" vertical="center" wrapText="1"/>
    </xf>
    <xf numFmtId="0" fontId="20" fillId="6" borderId="20" xfId="0" applyFont="1" applyFill="1" applyBorder="1" applyAlignment="1">
      <alignment horizontal="justify" vertical="center" wrapText="1"/>
    </xf>
    <xf numFmtId="0" fontId="19" fillId="5" borderId="21" xfId="1" applyNumberFormat="1" applyFont="1" applyFill="1" applyBorder="1" applyAlignment="1">
      <alignment horizontal="justify" vertical="center" wrapText="1"/>
    </xf>
    <xf numFmtId="0" fontId="21" fillId="0" borderId="19" xfId="0" applyFont="1" applyBorder="1" applyAlignment="1">
      <alignment horizontal="justify" vertical="center"/>
    </xf>
    <xf numFmtId="0" fontId="19" fillId="5" borderId="22" xfId="1" applyNumberFormat="1" applyFont="1" applyFill="1" applyBorder="1" applyAlignment="1">
      <alignment horizontal="justify" vertical="center" wrapText="1"/>
    </xf>
    <xf numFmtId="0" fontId="13" fillId="0" borderId="0" xfId="0" applyFont="1" applyAlignment="1">
      <alignment horizontal="center"/>
    </xf>
    <xf numFmtId="0" fontId="13" fillId="0" borderId="0" xfId="0" applyFont="1" applyAlignment="1">
      <alignment wrapText="1"/>
    </xf>
    <xf numFmtId="0" fontId="24" fillId="0" borderId="1" xfId="0" applyFont="1" applyBorder="1" applyAlignment="1">
      <alignment horizontal="center" vertical="center" wrapText="1"/>
    </xf>
    <xf numFmtId="0" fontId="1" fillId="0" borderId="0" xfId="0" applyFont="1" applyAlignment="1"/>
    <xf numFmtId="0" fontId="6" fillId="3" borderId="0" xfId="0" applyFont="1" applyFill="1" applyBorder="1" applyAlignment="1" applyProtection="1">
      <alignment horizontal="center" vertical="center" wrapText="1"/>
    </xf>
    <xf numFmtId="0" fontId="28" fillId="2" borderId="1" xfId="0" applyFont="1" applyFill="1" applyBorder="1" applyAlignment="1">
      <alignment horizontal="center" vertical="center" wrapText="1"/>
    </xf>
    <xf numFmtId="0" fontId="26" fillId="3" borderId="1" xfId="0" applyFont="1" applyFill="1" applyBorder="1" applyAlignment="1">
      <alignment horizontal="right"/>
    </xf>
    <xf numFmtId="0" fontId="26" fillId="0" borderId="0" xfId="0" applyFont="1" applyAlignment="1">
      <alignment horizontal="right" vertical="center"/>
    </xf>
    <xf numFmtId="0" fontId="27" fillId="3" borderId="0" xfId="0" applyFont="1" applyFill="1" applyBorder="1" applyAlignment="1">
      <alignment horizontal="right" vertical="center"/>
    </xf>
    <xf numFmtId="166" fontId="29" fillId="3" borderId="1" xfId="1" applyNumberFormat="1" applyFont="1" applyFill="1" applyBorder="1" applyAlignment="1" applyProtection="1">
      <alignment horizontal="right" vertical="center" wrapText="1"/>
      <protection locked="0"/>
    </xf>
    <xf numFmtId="0" fontId="26" fillId="0" borderId="0" xfId="0" applyFont="1" applyAlignment="1">
      <alignment horizontal="right"/>
    </xf>
    <xf numFmtId="166" fontId="26" fillId="0" borderId="0" xfId="0" applyNumberFormat="1" applyFont="1" applyAlignment="1">
      <alignment horizontal="right"/>
    </xf>
    <xf numFmtId="14" fontId="6" fillId="3" borderId="1" xfId="0" applyNumberFormat="1" applyFont="1" applyFill="1" applyBorder="1" applyAlignment="1" applyProtection="1">
      <alignment horizontal="center" vertical="center" wrapText="1"/>
      <protection locked="0"/>
    </xf>
    <xf numFmtId="0" fontId="1" fillId="0" borderId="0" xfId="0" applyFont="1" applyAlignment="1">
      <alignment horizontal="center"/>
    </xf>
    <xf numFmtId="166" fontId="26" fillId="0" borderId="0" xfId="0" applyNumberFormat="1" applyFont="1" applyAlignment="1">
      <alignment horizontal="right" vertical="center"/>
    </xf>
    <xf numFmtId="166" fontId="26" fillId="3" borderId="1" xfId="1" applyNumberFormat="1" applyFont="1" applyFill="1" applyBorder="1" applyAlignment="1" applyProtection="1">
      <alignment vertical="center" wrapText="1"/>
      <protection locked="0"/>
    </xf>
    <xf numFmtId="9" fontId="1" fillId="0" borderId="1" xfId="5" applyFont="1" applyFill="1" applyBorder="1" applyAlignment="1" applyProtection="1">
      <alignment horizontal="center" vertical="center" wrapText="1"/>
      <protection locked="0"/>
    </xf>
    <xf numFmtId="165" fontId="1" fillId="0" borderId="1" xfId="5" applyNumberFormat="1" applyFont="1" applyFill="1" applyBorder="1" applyAlignment="1" applyProtection="1">
      <alignment horizontal="center" vertical="center" wrapText="1"/>
      <protection locked="0"/>
    </xf>
    <xf numFmtId="165" fontId="9" fillId="3" borderId="1" xfId="0" applyNumberFormat="1" applyFont="1" applyFill="1" applyBorder="1" applyAlignment="1" applyProtection="1">
      <alignment horizontal="center" vertical="center" wrapText="1"/>
      <protection locked="0"/>
    </xf>
    <xf numFmtId="170" fontId="1" fillId="0" borderId="0" xfId="0" applyNumberFormat="1" applyFont="1" applyAlignment="1">
      <alignment horizontal="center" vertical="center"/>
    </xf>
    <xf numFmtId="170" fontId="2" fillId="3" borderId="0" xfId="0" applyNumberFormat="1" applyFont="1" applyFill="1" applyBorder="1" applyAlignment="1">
      <alignment horizontal="center" vertical="center" wrapText="1"/>
    </xf>
    <xf numFmtId="170" fontId="1" fillId="3" borderId="1" xfId="0" applyNumberFormat="1" applyFont="1" applyFill="1" applyBorder="1" applyAlignment="1">
      <alignment horizontal="center" vertical="center"/>
    </xf>
    <xf numFmtId="170" fontId="13" fillId="0" borderId="1" xfId="0" applyNumberFormat="1" applyFont="1" applyFill="1" applyBorder="1" applyAlignment="1" applyProtection="1">
      <alignment horizontal="center" vertical="center"/>
      <protection locked="0"/>
    </xf>
    <xf numFmtId="170" fontId="6" fillId="3" borderId="1" xfId="0" applyNumberFormat="1" applyFont="1" applyFill="1" applyBorder="1" applyAlignment="1" applyProtection="1">
      <alignment horizontal="center" vertical="center" wrapText="1"/>
      <protection locked="0"/>
    </xf>
    <xf numFmtId="166" fontId="26" fillId="3" borderId="15" xfId="1" applyNumberFormat="1" applyFont="1" applyFill="1" applyBorder="1" applyAlignment="1" applyProtection="1">
      <alignment horizontal="right" vertical="center" wrapText="1"/>
      <protection locked="0"/>
    </xf>
    <xf numFmtId="17" fontId="13" fillId="3" borderId="1" xfId="0" applyNumberFormat="1" applyFont="1" applyFill="1" applyBorder="1" applyAlignment="1" applyProtection="1">
      <alignment horizontal="center" vertical="center"/>
      <protection locked="0"/>
    </xf>
    <xf numFmtId="10" fontId="13" fillId="0" borderId="1" xfId="0" applyNumberFormat="1" applyFont="1" applyFill="1" applyBorder="1" applyAlignment="1" applyProtection="1">
      <alignment horizontal="center" vertical="center" wrapText="1"/>
      <protection locked="0"/>
    </xf>
    <xf numFmtId="165" fontId="9" fillId="0" borderId="11" xfId="0" applyNumberFormat="1" applyFont="1" applyBorder="1" applyAlignment="1" applyProtection="1">
      <alignment horizontal="center" vertical="center" wrapText="1"/>
      <protection locked="0"/>
    </xf>
    <xf numFmtId="17" fontId="1" fillId="0" borderId="11" xfId="0" applyNumberFormat="1" applyFont="1" applyBorder="1" applyAlignment="1" applyProtection="1">
      <alignment vertical="center"/>
      <protection locked="0"/>
    </xf>
    <xf numFmtId="14" fontId="1" fillId="0" borderId="11" xfId="0" applyNumberFormat="1" applyFont="1" applyBorder="1" applyAlignment="1" applyProtection="1">
      <alignment horizontal="center" vertical="center" wrapText="1"/>
      <protection locked="0"/>
    </xf>
    <xf numFmtId="165" fontId="9" fillId="0" borderId="1" xfId="0" applyNumberFormat="1" applyFont="1" applyBorder="1" applyAlignment="1" applyProtection="1">
      <alignment horizontal="center" vertical="center" wrapText="1"/>
      <protection locked="0"/>
    </xf>
    <xf numFmtId="0" fontId="26" fillId="3" borderId="1" xfId="0" applyFont="1" applyFill="1" applyBorder="1" applyAlignment="1"/>
    <xf numFmtId="0" fontId="1" fillId="0" borderId="0" xfId="0" applyFont="1" applyBorder="1" applyAlignment="1">
      <alignment vertical="center"/>
    </xf>
    <xf numFmtId="167" fontId="27" fillId="3" borderId="0" xfId="4" applyNumberFormat="1" applyFont="1" applyFill="1" applyBorder="1" applyAlignment="1">
      <alignment horizontal="center" vertical="center"/>
    </xf>
    <xf numFmtId="166" fontId="27" fillId="3" borderId="0" xfId="0" applyNumberFormat="1" applyFont="1" applyFill="1" applyBorder="1" applyAlignment="1">
      <alignment horizontal="center" vertical="center"/>
    </xf>
    <xf numFmtId="0" fontId="1" fillId="3" borderId="0" xfId="0" applyFont="1" applyFill="1" applyBorder="1" applyAlignment="1">
      <alignment vertical="center"/>
    </xf>
    <xf numFmtId="0" fontId="13" fillId="3" borderId="0" xfId="0" applyFont="1" applyFill="1" applyBorder="1"/>
    <xf numFmtId="0" fontId="13" fillId="3" borderId="6" xfId="0" applyFont="1" applyFill="1" applyBorder="1"/>
    <xf numFmtId="0" fontId="13" fillId="3" borderId="3" xfId="0" applyFont="1" applyFill="1" applyBorder="1"/>
    <xf numFmtId="0" fontId="9" fillId="0" borderId="0" xfId="0" applyFont="1" applyBorder="1" applyAlignment="1" applyProtection="1">
      <alignment horizontal="center" vertical="center" wrapText="1"/>
      <protection locked="0"/>
    </xf>
    <xf numFmtId="170" fontId="1" fillId="0" borderId="0" xfId="0" applyNumberFormat="1" applyFont="1" applyBorder="1" applyAlignment="1" applyProtection="1">
      <alignment horizontal="center" vertical="center"/>
      <protection locked="0"/>
    </xf>
    <xf numFmtId="170" fontId="6" fillId="0" borderId="0" xfId="0" applyNumberFormat="1" applyFont="1" applyBorder="1" applyAlignment="1" applyProtection="1">
      <alignment horizontal="center" vertical="center" wrapText="1"/>
      <protection locked="0"/>
    </xf>
    <xf numFmtId="14" fontId="6" fillId="0" borderId="0" xfId="0" applyNumberFormat="1" applyFont="1" applyBorder="1" applyAlignment="1" applyProtection="1">
      <alignment horizontal="center" vertical="center" wrapText="1"/>
      <protection locked="0"/>
    </xf>
    <xf numFmtId="165" fontId="1" fillId="0" borderId="0" xfId="0" applyNumberFormat="1" applyFont="1" applyBorder="1" applyAlignment="1" applyProtection="1">
      <alignment horizontal="center" vertical="center" wrapText="1"/>
      <protection locked="0"/>
    </xf>
    <xf numFmtId="166" fontId="29" fillId="0" borderId="0" xfId="1" applyNumberFormat="1" applyFont="1" applyBorder="1" applyAlignment="1" applyProtection="1">
      <alignment horizontal="right" vertical="center" wrapText="1"/>
      <protection locked="0"/>
    </xf>
    <xf numFmtId="44" fontId="1" fillId="0" borderId="0" xfId="1" applyFont="1" applyBorder="1" applyAlignment="1" applyProtection="1">
      <alignment horizontal="center" vertical="center" wrapText="1"/>
      <protection locked="0"/>
    </xf>
    <xf numFmtId="0" fontId="1" fillId="3" borderId="0" xfId="0" applyFont="1" applyFill="1" applyAlignment="1">
      <alignment horizontal="center" vertical="center"/>
    </xf>
    <xf numFmtId="0" fontId="1" fillId="3" borderId="0" xfId="0" applyFont="1" applyFill="1" applyBorder="1" applyAlignment="1">
      <alignment horizontal="center" vertical="center"/>
    </xf>
    <xf numFmtId="0" fontId="1" fillId="3" borderId="1" xfId="0" applyFont="1" applyFill="1" applyBorder="1" applyAlignment="1" applyProtection="1">
      <alignment horizontal="center" vertical="center" wrapText="1"/>
      <protection locked="0"/>
    </xf>
    <xf numFmtId="165" fontId="1" fillId="3" borderId="1" xfId="0" applyNumberFormat="1" applyFont="1" applyFill="1" applyBorder="1" applyAlignment="1" applyProtection="1">
      <alignment horizontal="center" vertical="center" wrapText="1"/>
      <protection locked="0"/>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166" fontId="26" fillId="3" borderId="1" xfId="1" applyNumberFormat="1" applyFont="1" applyFill="1" applyBorder="1" applyAlignment="1" applyProtection="1">
      <alignment horizontal="right" vertical="center" wrapText="1"/>
      <protection locked="0"/>
    </xf>
    <xf numFmtId="166" fontId="26" fillId="3" borderId="1" xfId="1" applyNumberFormat="1" applyFont="1" applyFill="1" applyBorder="1" applyAlignment="1" applyProtection="1">
      <alignment horizontal="center" vertical="center" wrapText="1"/>
      <protection locked="0"/>
    </xf>
    <xf numFmtId="165" fontId="13" fillId="3" borderId="1" xfId="0" applyNumberFormat="1" applyFont="1" applyFill="1" applyBorder="1" applyAlignment="1" applyProtection="1">
      <alignment horizontal="center" vertical="center" wrapText="1"/>
      <protection locked="0"/>
    </xf>
    <xf numFmtId="170" fontId="6" fillId="2" borderId="1" xfId="0" applyNumberFormat="1" applyFont="1" applyFill="1" applyBorder="1" applyAlignment="1">
      <alignment horizontal="center" vertical="center" wrapText="1"/>
    </xf>
    <xf numFmtId="14" fontId="11" fillId="3" borderId="1" xfId="0" applyNumberFormat="1" applyFont="1" applyFill="1" applyBorder="1" applyAlignment="1" applyProtection="1">
      <alignment horizontal="center" vertical="center" wrapText="1"/>
      <protection locked="0"/>
    </xf>
    <xf numFmtId="170" fontId="1" fillId="3" borderId="1" xfId="0" applyNumberFormat="1" applyFont="1" applyFill="1" applyBorder="1" applyAlignment="1" applyProtection="1">
      <alignment horizontal="center" vertical="center"/>
      <protection locked="0"/>
    </xf>
    <xf numFmtId="17" fontId="13" fillId="0" borderId="1" xfId="0" applyNumberFormat="1" applyFont="1" applyFill="1" applyBorder="1" applyAlignment="1" applyProtection="1">
      <alignment horizontal="center" vertical="center" wrapText="1"/>
      <protection locked="0"/>
    </xf>
    <xf numFmtId="17" fontId="13" fillId="0" borderId="1" xfId="0" applyNumberFormat="1" applyFont="1" applyFill="1" applyBorder="1" applyAlignment="1" applyProtection="1">
      <alignment horizontal="center" vertical="center"/>
      <protection locked="0"/>
    </xf>
    <xf numFmtId="166" fontId="26" fillId="3" borderId="14" xfId="1" applyNumberFormat="1" applyFont="1" applyFill="1" applyBorder="1" applyAlignment="1" applyProtection="1">
      <alignment horizontal="center" vertical="center" wrapText="1"/>
      <protection locked="0"/>
    </xf>
    <xf numFmtId="9" fontId="1" fillId="3" borderId="0" xfId="5" applyFont="1" applyFill="1" applyBorder="1" applyAlignment="1">
      <alignment horizontal="center" vertical="center"/>
    </xf>
    <xf numFmtId="0" fontId="13" fillId="0" borderId="0" xfId="0" applyFont="1" applyFill="1"/>
    <xf numFmtId="0" fontId="24" fillId="3" borderId="0" xfId="0" applyFont="1" applyFill="1" applyBorder="1" applyAlignment="1">
      <alignment horizontal="center" vertical="center"/>
    </xf>
    <xf numFmtId="0" fontId="15" fillId="3" borderId="5" xfId="0" applyFont="1" applyFill="1" applyBorder="1" applyAlignment="1" applyProtection="1">
      <alignment vertical="center" wrapText="1"/>
    </xf>
    <xf numFmtId="0" fontId="13" fillId="3" borderId="0" xfId="0" applyFont="1" applyFill="1" applyBorder="1" applyAlignment="1" applyProtection="1">
      <alignment horizontal="center"/>
    </xf>
    <xf numFmtId="170" fontId="13" fillId="0" borderId="0" xfId="0" applyNumberFormat="1" applyFont="1" applyAlignment="1">
      <alignment horizontal="center" vertical="center"/>
    </xf>
    <xf numFmtId="0" fontId="13" fillId="0" borderId="0" xfId="0" applyFont="1" applyAlignment="1">
      <alignment horizontal="center" vertical="center"/>
    </xf>
    <xf numFmtId="0" fontId="13" fillId="3" borderId="0" xfId="0" applyFont="1" applyFill="1" applyAlignment="1">
      <alignment horizontal="center" vertical="center"/>
    </xf>
    <xf numFmtId="0" fontId="13" fillId="3" borderId="0" xfId="0" applyFont="1" applyFill="1" applyAlignment="1">
      <alignment horizontal="left" vertical="center"/>
    </xf>
    <xf numFmtId="0" fontId="13" fillId="3" borderId="0" xfId="0" applyFont="1" applyFill="1"/>
    <xf numFmtId="0" fontId="26" fillId="3" borderId="0" xfId="0" applyFont="1" applyFill="1" applyAlignment="1">
      <alignment horizontal="center" vertical="center"/>
    </xf>
    <xf numFmtId="0" fontId="13" fillId="3" borderId="0" xfId="0" applyFont="1" applyFill="1" applyAlignment="1">
      <alignment vertical="center" wrapText="1"/>
    </xf>
    <xf numFmtId="0" fontId="24" fillId="3" borderId="1" xfId="0" applyFont="1" applyFill="1" applyBorder="1" applyAlignment="1">
      <alignment horizontal="center" vertical="center"/>
    </xf>
    <xf numFmtId="0" fontId="24" fillId="3" borderId="1" xfId="0" applyFont="1" applyFill="1" applyBorder="1" applyAlignment="1">
      <alignment horizontal="center" vertical="center" wrapText="1"/>
    </xf>
    <xf numFmtId="0" fontId="13" fillId="0" borderId="2" xfId="0" applyFont="1" applyFill="1" applyBorder="1" applyAlignment="1">
      <alignment horizontal="center"/>
    </xf>
    <xf numFmtId="0" fontId="13" fillId="3" borderId="0" xfId="0" applyFont="1" applyFill="1" applyBorder="1" applyAlignment="1">
      <alignment horizontal="center"/>
    </xf>
    <xf numFmtId="0" fontId="33" fillId="3" borderId="0" xfId="0" applyFont="1" applyFill="1" applyBorder="1" applyAlignment="1">
      <alignment horizontal="center" vertical="center" wrapText="1"/>
    </xf>
    <xf numFmtId="170" fontId="33" fillId="3" borderId="0" xfId="0" applyNumberFormat="1" applyFont="1" applyFill="1" applyBorder="1" applyAlignment="1">
      <alignment horizontal="center" vertical="center" wrapText="1"/>
    </xf>
    <xf numFmtId="0" fontId="13" fillId="3" borderId="0" xfId="0" applyFont="1" applyFill="1" applyBorder="1" applyAlignment="1">
      <alignment horizontal="center" vertical="center"/>
    </xf>
    <xf numFmtId="0" fontId="13" fillId="3" borderId="0" xfId="0" applyFont="1" applyFill="1" applyBorder="1" applyAlignment="1">
      <alignment horizontal="left" vertical="center"/>
    </xf>
    <xf numFmtId="0" fontId="13" fillId="0" borderId="0" xfId="0" applyFont="1" applyFill="1" applyBorder="1" applyAlignment="1">
      <alignment horizontal="center"/>
    </xf>
    <xf numFmtId="170" fontId="15" fillId="2" borderId="1" xfId="0" applyNumberFormat="1" applyFont="1" applyFill="1" applyBorder="1" applyAlignment="1">
      <alignment horizontal="center" vertical="center" wrapText="1"/>
    </xf>
    <xf numFmtId="0" fontId="13" fillId="0" borderId="0" xfId="0" applyFont="1" applyAlignment="1">
      <alignment horizontal="left" vertical="center"/>
    </xf>
    <xf numFmtId="0" fontId="26" fillId="0" borderId="0" xfId="0" applyFont="1" applyAlignment="1">
      <alignment horizontal="center" vertical="center"/>
    </xf>
    <xf numFmtId="0" fontId="13" fillId="0" borderId="0" xfId="0" applyFont="1" applyAlignment="1">
      <alignment vertical="center" wrapText="1"/>
    </xf>
    <xf numFmtId="0" fontId="28" fillId="0" borderId="0" xfId="0" applyFont="1" applyFill="1" applyBorder="1" applyAlignment="1" applyProtection="1">
      <alignment horizontal="center" vertical="center" wrapText="1"/>
      <protection locked="0"/>
    </xf>
    <xf numFmtId="0" fontId="13" fillId="0" borderId="13" xfId="0" applyFont="1" applyFill="1" applyBorder="1" applyAlignment="1" applyProtection="1">
      <alignment horizontal="center" vertical="center" wrapText="1"/>
      <protection locked="0"/>
    </xf>
    <xf numFmtId="0" fontId="13" fillId="0" borderId="15" xfId="0" applyFont="1" applyFill="1" applyBorder="1" applyAlignment="1" applyProtection="1">
      <alignment horizontal="center" vertical="center" wrapText="1"/>
      <protection locked="0"/>
    </xf>
    <xf numFmtId="0" fontId="13" fillId="3" borderId="0" xfId="0" applyFont="1" applyFill="1" applyBorder="1" applyAlignment="1">
      <alignment horizontal="left" wrapText="1"/>
    </xf>
    <xf numFmtId="0" fontId="33" fillId="3" borderId="0" xfId="0" applyFont="1" applyFill="1" applyBorder="1" applyAlignment="1">
      <alignment horizontal="left" vertical="center" wrapText="1"/>
    </xf>
    <xf numFmtId="0" fontId="15" fillId="3" borderId="0" xfId="0" applyFont="1" applyFill="1" applyBorder="1" applyAlignment="1" applyProtection="1">
      <alignment vertical="center" wrapText="1"/>
      <protection locked="0"/>
    </xf>
    <xf numFmtId="0" fontId="15" fillId="3" borderId="4" xfId="0" applyFont="1" applyFill="1" applyBorder="1" applyAlignment="1" applyProtection="1">
      <alignment vertical="center" wrapText="1"/>
      <protection locked="0"/>
    </xf>
    <xf numFmtId="0" fontId="13" fillId="3" borderId="5" xfId="0" applyFont="1" applyFill="1" applyBorder="1" applyAlignment="1">
      <alignment wrapText="1"/>
    </xf>
    <xf numFmtId="0" fontId="15" fillId="3" borderId="6" xfId="0" applyFont="1" applyFill="1" applyBorder="1" applyAlignment="1" applyProtection="1">
      <alignment vertical="center" wrapText="1"/>
    </xf>
    <xf numFmtId="0" fontId="15" fillId="3" borderId="0" xfId="0" applyFont="1" applyFill="1" applyBorder="1" applyAlignment="1" applyProtection="1">
      <alignment vertical="center" wrapText="1"/>
    </xf>
    <xf numFmtId="0" fontId="15" fillId="3" borderId="4" xfId="0" applyFont="1" applyFill="1" applyBorder="1" applyAlignment="1" applyProtection="1">
      <alignment vertical="center" wrapText="1"/>
    </xf>
    <xf numFmtId="0" fontId="13" fillId="3" borderId="2" xfId="0" applyFont="1" applyFill="1" applyBorder="1" applyAlignment="1" applyProtection="1">
      <alignment horizontal="left" vertical="center" wrapText="1"/>
      <protection locked="0"/>
    </xf>
    <xf numFmtId="0" fontId="13" fillId="3" borderId="0" xfId="0" applyFont="1" applyFill="1" applyBorder="1" applyAlignment="1" applyProtection="1">
      <alignment horizontal="left" vertical="center" wrapText="1"/>
      <protection locked="0"/>
    </xf>
    <xf numFmtId="0" fontId="15" fillId="3" borderId="3" xfId="0" applyFont="1" applyFill="1" applyBorder="1" applyAlignment="1">
      <alignment horizontal="center" vertical="center" wrapText="1"/>
    </xf>
    <xf numFmtId="0" fontId="13" fillId="3" borderId="0" xfId="0" applyFont="1" applyFill="1" applyBorder="1" applyAlignment="1">
      <alignment wrapText="1"/>
    </xf>
    <xf numFmtId="0" fontId="13" fillId="3" borderId="2" xfId="0" applyFont="1" applyFill="1" applyBorder="1" applyAlignment="1">
      <alignment wrapText="1"/>
    </xf>
    <xf numFmtId="0" fontId="15" fillId="3" borderId="0" xfId="0" applyFont="1" applyFill="1" applyBorder="1" applyAlignment="1" applyProtection="1">
      <alignment horizontal="left" vertical="center" wrapText="1"/>
    </xf>
    <xf numFmtId="0" fontId="15" fillId="3" borderId="3" xfId="0" applyFont="1" applyFill="1" applyBorder="1" applyAlignment="1" applyProtection="1">
      <alignment horizontal="center" vertical="center" wrapText="1"/>
    </xf>
    <xf numFmtId="0" fontId="15" fillId="3" borderId="0" xfId="0" applyFont="1" applyFill="1" applyBorder="1" applyAlignment="1" applyProtection="1">
      <alignment horizontal="center" vertical="center" wrapText="1"/>
    </xf>
    <xf numFmtId="0" fontId="15" fillId="3" borderId="2" xfId="0" applyFont="1" applyFill="1" applyBorder="1" applyAlignment="1" applyProtection="1">
      <alignment horizontal="left" vertical="top" wrapText="1"/>
    </xf>
    <xf numFmtId="0" fontId="28" fillId="3" borderId="0" xfId="0" applyFont="1" applyFill="1" applyBorder="1" applyAlignment="1" applyProtection="1">
      <alignment horizontal="center" vertical="center"/>
    </xf>
    <xf numFmtId="0" fontId="13" fillId="3" borderId="2" xfId="0" applyFont="1" applyFill="1" applyBorder="1" applyAlignment="1" applyProtection="1">
      <alignment vertical="center" wrapText="1"/>
      <protection locked="0"/>
    </xf>
    <xf numFmtId="0" fontId="13" fillId="3" borderId="0" xfId="0" applyFont="1" applyFill="1" applyBorder="1" applyAlignment="1" applyProtection="1">
      <alignment vertical="center" wrapText="1"/>
      <protection locked="0"/>
    </xf>
    <xf numFmtId="0" fontId="13" fillId="3" borderId="3" xfId="0" applyFont="1" applyFill="1" applyBorder="1" applyAlignment="1" applyProtection="1">
      <alignment vertical="center" wrapText="1"/>
      <protection locked="0"/>
    </xf>
    <xf numFmtId="0" fontId="13" fillId="3" borderId="0" xfId="0" applyFont="1" applyFill="1" applyBorder="1" applyAlignment="1" applyProtection="1">
      <alignment horizontal="left" vertical="center" wrapText="1"/>
    </xf>
    <xf numFmtId="0" fontId="13" fillId="3" borderId="2" xfId="0" applyFont="1" applyFill="1" applyBorder="1" applyAlignment="1" applyProtection="1">
      <alignment vertical="center" wrapText="1"/>
    </xf>
    <xf numFmtId="0" fontId="17" fillId="3" borderId="0" xfId="0" applyFont="1" applyFill="1" applyBorder="1" applyAlignment="1" applyProtection="1">
      <alignment horizontal="center" vertical="center" wrapText="1"/>
    </xf>
    <xf numFmtId="0" fontId="13" fillId="0" borderId="0" xfId="0" applyFont="1" applyBorder="1" applyAlignment="1" applyProtection="1">
      <alignment horizontal="left" vertical="center"/>
    </xf>
    <xf numFmtId="0" fontId="28" fillId="3" borderId="0" xfId="0" applyFont="1" applyFill="1" applyBorder="1" applyAlignment="1" applyProtection="1">
      <alignment vertical="center" wrapText="1"/>
    </xf>
    <xf numFmtId="0" fontId="28" fillId="3" borderId="0" xfId="0" applyFont="1" applyFill="1" applyBorder="1" applyAlignment="1" applyProtection="1">
      <alignment horizontal="center" vertical="center" wrapText="1"/>
    </xf>
    <xf numFmtId="0" fontId="24" fillId="3" borderId="0" xfId="0" applyFont="1" applyFill="1" applyBorder="1" applyAlignment="1" applyProtection="1">
      <alignment horizontal="center" vertical="center" wrapText="1"/>
    </xf>
    <xf numFmtId="0" fontId="13" fillId="0" borderId="0" xfId="0" applyFont="1" applyFill="1" applyBorder="1" applyAlignment="1" applyProtection="1">
      <alignment vertical="center" wrapText="1"/>
    </xf>
    <xf numFmtId="0" fontId="13" fillId="3" borderId="0" xfId="0" applyFont="1" applyFill="1" applyBorder="1" applyAlignment="1" applyProtection="1">
      <alignment horizontal="center" vertical="center"/>
    </xf>
    <xf numFmtId="0" fontId="13" fillId="3" borderId="0" xfId="0" applyFont="1" applyFill="1" applyBorder="1" applyAlignment="1" applyProtection="1">
      <alignment wrapText="1"/>
      <protection locked="0"/>
    </xf>
    <xf numFmtId="0" fontId="15" fillId="3" borderId="0" xfId="0" applyFont="1" applyFill="1" applyBorder="1" applyAlignment="1" applyProtection="1">
      <alignment horizontal="left" vertical="center" wrapText="1"/>
      <protection locked="0"/>
    </xf>
    <xf numFmtId="0" fontId="13" fillId="3" borderId="9" xfId="0" applyFont="1" applyFill="1" applyBorder="1" applyAlignment="1" applyProtection="1">
      <alignment horizontal="left" vertical="center" wrapText="1"/>
      <protection locked="0"/>
    </xf>
    <xf numFmtId="0" fontId="13" fillId="3" borderId="7" xfId="0" applyFont="1" applyFill="1" applyBorder="1" applyAlignment="1">
      <alignment wrapText="1"/>
    </xf>
    <xf numFmtId="0" fontId="13" fillId="3" borderId="9" xfId="0" applyFont="1" applyFill="1" applyBorder="1" applyAlignment="1" applyProtection="1">
      <alignment vertical="center" wrapText="1"/>
      <protection locked="0"/>
    </xf>
    <xf numFmtId="0" fontId="13" fillId="3" borderId="9" xfId="0" applyFont="1" applyFill="1" applyBorder="1" applyAlignment="1" applyProtection="1">
      <alignment vertical="center" wrapText="1"/>
    </xf>
    <xf numFmtId="166" fontId="13" fillId="3" borderId="0" xfId="0" applyNumberFormat="1" applyFont="1" applyFill="1" applyBorder="1" applyAlignment="1" applyProtection="1">
      <alignment horizontal="left" vertical="center"/>
    </xf>
    <xf numFmtId="0" fontId="13" fillId="3" borderId="0" xfId="0" applyFont="1" applyFill="1" applyBorder="1" applyProtection="1"/>
    <xf numFmtId="0" fontId="26" fillId="3" borderId="0" xfId="0" applyFont="1" applyFill="1" applyBorder="1" applyAlignment="1" applyProtection="1">
      <alignment horizontal="center" vertical="center"/>
    </xf>
    <xf numFmtId="0" fontId="29" fillId="3" borderId="0" xfId="0" applyFont="1" applyFill="1" applyBorder="1" applyAlignment="1">
      <alignment horizontal="center" vertical="center" wrapText="1"/>
    </xf>
    <xf numFmtId="0" fontId="13" fillId="3" borderId="9" xfId="0" applyFont="1" applyFill="1" applyBorder="1" applyAlignment="1" applyProtection="1">
      <alignment horizontal="center" vertical="center" wrapText="1"/>
    </xf>
    <xf numFmtId="0" fontId="24" fillId="3" borderId="8" xfId="0" applyFont="1" applyFill="1" applyBorder="1" applyAlignment="1" applyProtection="1">
      <alignment horizontal="center" vertical="center" wrapText="1"/>
    </xf>
    <xf numFmtId="166" fontId="13" fillId="3" borderId="0" xfId="0" applyNumberFormat="1" applyFont="1" applyFill="1" applyAlignment="1">
      <alignment horizontal="left" vertical="center"/>
    </xf>
    <xf numFmtId="9" fontId="13" fillId="3" borderId="0" xfId="5" applyFont="1" applyFill="1" applyAlignment="1">
      <alignment horizontal="left" vertical="center"/>
    </xf>
    <xf numFmtId="166" fontId="24" fillId="3" borderId="0" xfId="0" applyNumberFormat="1" applyFont="1" applyFill="1" applyBorder="1" applyAlignment="1">
      <alignment horizontal="center" vertical="center"/>
    </xf>
    <xf numFmtId="0" fontId="15" fillId="0" borderId="0" xfId="0" applyFont="1" applyAlignment="1">
      <alignment horizontal="center" vertical="center" wrapText="1"/>
    </xf>
    <xf numFmtId="167" fontId="0" fillId="0" borderId="0" xfId="4" applyNumberFormat="1" applyFont="1" applyAlignment="1">
      <alignment vertical="center"/>
    </xf>
    <xf numFmtId="0" fontId="0" fillId="0" borderId="0" xfId="0" applyAlignment="1">
      <alignment vertical="center"/>
    </xf>
    <xf numFmtId="0" fontId="15" fillId="0" borderId="0" xfId="0" applyFont="1" applyAlignment="1">
      <alignment vertical="center" wrapText="1"/>
    </xf>
    <xf numFmtId="0" fontId="0" fillId="0" borderId="0" xfId="0" applyAlignment="1">
      <alignment vertical="center" wrapText="1"/>
    </xf>
    <xf numFmtId="0" fontId="13" fillId="0" borderId="1" xfId="0" applyFont="1" applyFill="1" applyBorder="1" applyAlignment="1" applyProtection="1">
      <alignment horizontal="center" vertical="center" wrapText="1"/>
      <protection locked="0"/>
    </xf>
    <xf numFmtId="0" fontId="13" fillId="0" borderId="1" xfId="0" applyFont="1" applyFill="1" applyBorder="1" applyAlignment="1">
      <alignment horizontal="center" vertical="center"/>
    </xf>
    <xf numFmtId="0" fontId="26" fillId="0" borderId="1" xfId="0" applyFont="1" applyFill="1" applyBorder="1" applyAlignment="1">
      <alignment wrapText="1"/>
    </xf>
    <xf numFmtId="10" fontId="26" fillId="0" borderId="1" xfId="5" applyNumberFormat="1" applyFont="1" applyFill="1" applyBorder="1" applyAlignment="1">
      <alignment horizontal="center" vertical="center" wrapText="1"/>
    </xf>
    <xf numFmtId="0" fontId="13" fillId="0" borderId="1" xfId="0" applyFont="1" applyFill="1" applyBorder="1" applyAlignment="1">
      <alignment vertical="center" wrapText="1"/>
    </xf>
    <xf numFmtId="0" fontId="13" fillId="0" borderId="0" xfId="0" applyFont="1" applyFill="1" applyAlignment="1">
      <alignment horizontal="center" vertical="center"/>
    </xf>
    <xf numFmtId="0" fontId="13" fillId="3" borderId="1" xfId="0" applyFont="1" applyFill="1" applyBorder="1" applyAlignment="1" applyProtection="1">
      <alignment horizontal="center" vertical="center" wrapText="1"/>
      <protection locked="0"/>
    </xf>
    <xf numFmtId="166" fontId="26" fillId="0" borderId="1" xfId="1" applyNumberFormat="1" applyFont="1" applyFill="1" applyBorder="1" applyAlignment="1" applyProtection="1">
      <alignment vertical="center" wrapText="1"/>
      <protection locked="0"/>
    </xf>
    <xf numFmtId="0" fontId="13" fillId="0" borderId="1" xfId="0" applyFont="1" applyFill="1" applyBorder="1" applyAlignment="1">
      <alignment horizontal="left" vertical="center" wrapText="1"/>
    </xf>
    <xf numFmtId="166" fontId="26" fillId="0" borderId="1" xfId="1" applyNumberFormat="1" applyFont="1" applyFill="1" applyBorder="1" applyAlignment="1">
      <alignment vertical="center"/>
    </xf>
    <xf numFmtId="44" fontId="26" fillId="0" borderId="1" xfId="1" applyFont="1" applyFill="1" applyBorder="1" applyAlignment="1">
      <alignment vertical="center"/>
    </xf>
    <xf numFmtId="0" fontId="13" fillId="0" borderId="0" xfId="0" applyFont="1" applyFill="1" applyAlignment="1">
      <alignment horizontal="center" vertical="center" wrapText="1"/>
    </xf>
    <xf numFmtId="0" fontId="13" fillId="0" borderId="1" xfId="0" applyFont="1" applyFill="1" applyBorder="1" applyAlignment="1">
      <alignment horizontal="center" vertical="center" wrapText="1"/>
    </xf>
    <xf numFmtId="44" fontId="26" fillId="0" borderId="1" xfId="1" applyFont="1" applyFill="1" applyBorder="1" applyAlignment="1">
      <alignment wrapText="1"/>
    </xf>
    <xf numFmtId="14" fontId="37" fillId="0"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0" fillId="0" borderId="0" xfId="0" applyFont="1" applyFill="1"/>
    <xf numFmtId="10" fontId="29" fillId="0" borderId="1" xfId="0" applyNumberFormat="1" applyFont="1" applyFill="1" applyBorder="1" applyAlignment="1" applyProtection="1">
      <alignment horizontal="center" vertical="center" wrapText="1"/>
      <protection locked="0"/>
    </xf>
    <xf numFmtId="166" fontId="29" fillId="0" borderId="1" xfId="1" applyNumberFormat="1" applyFont="1" applyFill="1" applyBorder="1" applyAlignment="1" applyProtection="1">
      <alignment horizontal="right" vertical="center" wrapText="1"/>
      <protection locked="0"/>
    </xf>
    <xf numFmtId="0" fontId="38" fillId="0" borderId="1" xfId="0" applyFont="1" applyFill="1" applyBorder="1" applyAlignment="1">
      <alignment horizontal="center" vertical="center"/>
    </xf>
    <xf numFmtId="166" fontId="38" fillId="0" borderId="1" xfId="0" applyNumberFormat="1" applyFont="1" applyFill="1" applyBorder="1" applyAlignment="1">
      <alignment horizontal="left" vertical="center" wrapText="1"/>
    </xf>
    <xf numFmtId="166" fontId="29" fillId="0" borderId="1" xfId="1" applyNumberFormat="1" applyFont="1" applyFill="1" applyBorder="1" applyAlignment="1">
      <alignment vertical="center"/>
    </xf>
    <xf numFmtId="10" fontId="29" fillId="0" borderId="1" xfId="5" applyNumberFormat="1" applyFont="1" applyFill="1" applyBorder="1" applyAlignment="1">
      <alignment horizontal="center" vertical="center"/>
    </xf>
    <xf numFmtId="0" fontId="38" fillId="0" borderId="1" xfId="0" applyFont="1" applyFill="1" applyBorder="1" applyAlignment="1">
      <alignment vertical="center" wrapText="1"/>
    </xf>
    <xf numFmtId="0" fontId="10" fillId="0" borderId="0" xfId="0" applyFont="1" applyFill="1" applyAlignment="1">
      <alignment horizontal="center" vertical="center"/>
    </xf>
    <xf numFmtId="10" fontId="13" fillId="0" borderId="0" xfId="5" applyNumberFormat="1" applyFont="1" applyFill="1" applyAlignment="1">
      <alignment horizontal="center" vertical="center"/>
    </xf>
    <xf numFmtId="14" fontId="13" fillId="0" borderId="1" xfId="0" applyNumberFormat="1" applyFont="1" applyFill="1" applyBorder="1" applyAlignment="1" applyProtection="1">
      <alignment horizontal="center" vertical="center" wrapText="1"/>
      <protection locked="0"/>
    </xf>
    <xf numFmtId="10" fontId="13" fillId="0" borderId="1" xfId="0" applyNumberFormat="1" applyFont="1" applyFill="1" applyBorder="1" applyAlignment="1">
      <alignment horizontal="center" vertical="center" wrapText="1"/>
    </xf>
    <xf numFmtId="10" fontId="26" fillId="0" borderId="1" xfId="0" applyNumberFormat="1" applyFont="1" applyFill="1" applyBorder="1" applyAlignment="1">
      <alignment horizontal="center" vertical="center"/>
    </xf>
    <xf numFmtId="170" fontId="13" fillId="0" borderId="1" xfId="0" applyNumberFormat="1" applyFont="1" applyFill="1" applyBorder="1" applyAlignment="1">
      <alignment horizontal="center" vertical="center"/>
    </xf>
    <xf numFmtId="10" fontId="26" fillId="0" borderId="1" xfId="0" applyNumberFormat="1" applyFont="1" applyFill="1" applyBorder="1" applyAlignment="1">
      <alignment horizontal="center" vertical="center" wrapText="1"/>
    </xf>
    <xf numFmtId="10" fontId="13" fillId="0" borderId="0" xfId="0" applyNumberFormat="1" applyFont="1" applyFill="1"/>
    <xf numFmtId="165" fontId="13" fillId="0" borderId="0" xfId="5" applyNumberFormat="1" applyFont="1" applyFill="1"/>
    <xf numFmtId="0" fontId="40" fillId="0" borderId="0" xfId="0" applyFont="1" applyFill="1" applyAlignment="1">
      <alignment horizontal="center" vertical="center" wrapText="1"/>
    </xf>
    <xf numFmtId="9" fontId="13" fillId="0" borderId="1" xfId="5" applyFont="1" applyFill="1" applyBorder="1" applyAlignment="1">
      <alignment vertical="center" wrapText="1"/>
    </xf>
    <xf numFmtId="9" fontId="13" fillId="0" borderId="0" xfId="5" applyFont="1" applyFill="1"/>
    <xf numFmtId="0" fontId="13" fillId="0" borderId="0" xfId="0" applyFont="1" applyFill="1" applyAlignment="1">
      <alignment vertical="center"/>
    </xf>
    <xf numFmtId="0" fontId="1" fillId="0" borderId="0" xfId="0" applyFont="1" applyFill="1"/>
    <xf numFmtId="10" fontId="28" fillId="0" borderId="1" xfId="0" applyNumberFormat="1" applyFont="1" applyFill="1" applyBorder="1" applyAlignment="1" applyProtection="1">
      <alignment horizontal="center" vertical="center" wrapText="1"/>
      <protection locked="0"/>
    </xf>
    <xf numFmtId="17" fontId="13" fillId="0" borderId="1" xfId="0" applyNumberFormat="1" applyFont="1" applyFill="1" applyBorder="1" applyAlignment="1" applyProtection="1">
      <alignment vertical="center"/>
      <protection locked="0"/>
    </xf>
    <xf numFmtId="10" fontId="28" fillId="0" borderId="1" xfId="5" applyNumberFormat="1" applyFont="1" applyFill="1" applyBorder="1" applyAlignment="1" applyProtection="1">
      <alignment horizontal="center" vertical="center" wrapText="1"/>
      <protection locked="0"/>
    </xf>
    <xf numFmtId="0" fontId="1" fillId="0" borderId="0" xfId="0" applyFont="1" applyFill="1" applyAlignment="1">
      <alignment horizontal="center" vertical="center"/>
    </xf>
    <xf numFmtId="0" fontId="1" fillId="0" borderId="0" xfId="0" applyFont="1" applyFill="1" applyAlignment="1"/>
    <xf numFmtId="0" fontId="13" fillId="0" borderId="1" xfId="0" applyFont="1" applyFill="1" applyBorder="1" applyAlignment="1">
      <alignment horizontal="left" vertical="center"/>
    </xf>
    <xf numFmtId="0" fontId="13" fillId="0" borderId="1" xfId="0" applyFont="1" applyFill="1" applyBorder="1"/>
    <xf numFmtId="10" fontId="13" fillId="0" borderId="1" xfId="5" applyNumberFormat="1" applyFont="1" applyFill="1" applyBorder="1" applyAlignment="1">
      <alignment vertical="center" wrapText="1"/>
    </xf>
    <xf numFmtId="10" fontId="13" fillId="0" borderId="0" xfId="5" applyNumberFormat="1" applyFont="1" applyFill="1" applyAlignment="1">
      <alignment vertical="center" wrapText="1"/>
    </xf>
    <xf numFmtId="10" fontId="13" fillId="0" borderId="1" xfId="5" applyNumberFormat="1" applyFont="1" applyFill="1" applyBorder="1" applyAlignment="1" applyProtection="1">
      <alignment horizontal="center" vertical="center" wrapText="1"/>
      <protection locked="0"/>
    </xf>
    <xf numFmtId="165" fontId="28" fillId="0" borderId="1" xfId="0" applyNumberFormat="1" applyFont="1" applyFill="1" applyBorder="1" applyAlignment="1" applyProtection="1">
      <alignment horizontal="center" vertical="center" wrapText="1"/>
      <protection locked="0"/>
    </xf>
    <xf numFmtId="170" fontId="15" fillId="0" borderId="1" xfId="0" applyNumberFormat="1" applyFont="1" applyFill="1" applyBorder="1" applyAlignment="1" applyProtection="1">
      <alignment horizontal="center" vertical="center" wrapText="1"/>
      <protection locked="0"/>
    </xf>
    <xf numFmtId="14" fontId="15" fillId="0" borderId="1" xfId="0" applyNumberFormat="1" applyFont="1" applyFill="1" applyBorder="1" applyAlignment="1" applyProtection="1">
      <alignment horizontal="center" vertical="center" wrapText="1"/>
      <protection locked="0"/>
    </xf>
    <xf numFmtId="10" fontId="28" fillId="0" borderId="1" xfId="0" applyNumberFormat="1" applyFont="1" applyFill="1" applyBorder="1" applyAlignment="1">
      <alignment horizontal="center" vertical="center"/>
    </xf>
    <xf numFmtId="166" fontId="13" fillId="0" borderId="1" xfId="0" applyNumberFormat="1" applyFont="1" applyFill="1" applyBorder="1"/>
    <xf numFmtId="44" fontId="26" fillId="0" borderId="1" xfId="1" applyFont="1" applyFill="1" applyBorder="1" applyAlignment="1" applyProtection="1">
      <alignment vertical="center" wrapText="1"/>
      <protection locked="0"/>
    </xf>
    <xf numFmtId="9" fontId="26" fillId="0" borderId="1" xfId="0" applyNumberFormat="1" applyFont="1" applyFill="1" applyBorder="1" applyAlignment="1">
      <alignment horizontal="center" vertical="center"/>
    </xf>
    <xf numFmtId="0" fontId="1" fillId="0" borderId="0" xfId="0" applyFont="1" applyFill="1" applyBorder="1"/>
    <xf numFmtId="165" fontId="28" fillId="0" borderId="0" xfId="0" applyNumberFormat="1" applyFont="1" applyFill="1" applyBorder="1" applyAlignment="1" applyProtection="1">
      <alignment horizontal="center" vertical="center" wrapText="1"/>
      <protection locked="0"/>
    </xf>
    <xf numFmtId="170" fontId="13" fillId="0" borderId="0" xfId="0" applyNumberFormat="1" applyFont="1" applyFill="1" applyBorder="1" applyAlignment="1" applyProtection="1">
      <alignment horizontal="center" vertical="center"/>
      <protection locked="0"/>
    </xf>
    <xf numFmtId="170" fontId="15" fillId="0" borderId="0" xfId="0" applyNumberFormat="1" applyFont="1" applyFill="1" applyBorder="1" applyAlignment="1" applyProtection="1">
      <alignment horizontal="center" vertical="center" wrapText="1"/>
      <protection locked="0"/>
    </xf>
    <xf numFmtId="14" fontId="15" fillId="0" borderId="0" xfId="0" applyNumberFormat="1" applyFont="1" applyFill="1" applyBorder="1" applyAlignment="1" applyProtection="1">
      <alignment horizontal="center" vertical="center" wrapText="1"/>
      <protection locked="0"/>
    </xf>
    <xf numFmtId="165" fontId="13" fillId="0" borderId="0" xfId="0" applyNumberFormat="1" applyFont="1" applyFill="1" applyBorder="1" applyAlignment="1" applyProtection="1">
      <alignment horizontal="center" vertical="center" wrapText="1"/>
      <protection locked="0"/>
    </xf>
    <xf numFmtId="166" fontId="26" fillId="0" borderId="0" xfId="1" applyNumberFormat="1" applyFont="1" applyFill="1" applyBorder="1" applyAlignment="1" applyProtection="1">
      <alignment horizontal="right" vertical="center" wrapText="1"/>
      <protection locked="0"/>
    </xf>
    <xf numFmtId="166" fontId="13" fillId="0" borderId="0" xfId="1" applyNumberFormat="1" applyFont="1" applyFill="1" applyBorder="1" applyAlignment="1" applyProtection="1">
      <alignment horizontal="center" vertical="center" wrapText="1"/>
      <protection locked="0"/>
    </xf>
    <xf numFmtId="44" fontId="13" fillId="0" borderId="0" xfId="1" applyFont="1" applyFill="1" applyBorder="1" applyAlignment="1" applyProtection="1">
      <alignment horizontal="center" vertical="center" wrapText="1"/>
      <protection locked="0"/>
    </xf>
    <xf numFmtId="0" fontId="13" fillId="0" borderId="0" xfId="0" applyFont="1" applyFill="1" applyAlignment="1">
      <alignment horizontal="left" vertical="center"/>
    </xf>
    <xf numFmtId="0" fontId="26" fillId="0" borderId="0" xfId="0" applyFont="1" applyFill="1" applyAlignment="1">
      <alignment horizontal="center" vertical="center"/>
    </xf>
    <xf numFmtId="0" fontId="13" fillId="0" borderId="0" xfId="0" applyFont="1" applyFill="1" applyAlignment="1">
      <alignment vertical="center" wrapText="1"/>
    </xf>
    <xf numFmtId="10" fontId="13" fillId="0" borderId="7" xfId="0" applyNumberFormat="1" applyFont="1" applyFill="1" applyBorder="1" applyAlignment="1">
      <alignment horizontal="center" vertical="center" wrapText="1"/>
    </xf>
    <xf numFmtId="170" fontId="13" fillId="0" borderId="13" xfId="0" applyNumberFormat="1" applyFont="1" applyFill="1" applyBorder="1" applyAlignment="1" applyProtection="1">
      <alignment horizontal="center" vertical="center"/>
      <protection locked="0"/>
    </xf>
    <xf numFmtId="166" fontId="26" fillId="0" borderId="13" xfId="1" applyNumberFormat="1" applyFont="1" applyFill="1" applyBorder="1" applyAlignment="1" applyProtection="1">
      <alignment horizontal="right" vertical="center" wrapText="1"/>
      <protection locked="0"/>
    </xf>
    <xf numFmtId="166" fontId="26" fillId="0" borderId="15" xfId="1" applyNumberFormat="1" applyFont="1" applyFill="1" applyBorder="1" applyAlignment="1" applyProtection="1">
      <alignment horizontal="right" vertical="center" wrapText="1"/>
      <protection locked="0"/>
    </xf>
    <xf numFmtId="44" fontId="26" fillId="0" borderId="15" xfId="1" applyFont="1" applyFill="1" applyBorder="1" applyAlignment="1" applyProtection="1">
      <alignment horizontal="right" vertical="center" wrapText="1"/>
      <protection locked="0"/>
    </xf>
    <xf numFmtId="10" fontId="1" fillId="0" borderId="0" xfId="5" applyNumberFormat="1" applyFont="1" applyFill="1"/>
    <xf numFmtId="165" fontId="28" fillId="0" borderId="11" xfId="0" applyNumberFormat="1" applyFont="1" applyFill="1" applyBorder="1" applyAlignment="1" applyProtection="1">
      <alignment horizontal="center" vertical="center" wrapText="1"/>
      <protection locked="0"/>
    </xf>
    <xf numFmtId="17" fontId="13" fillId="0" borderId="11" xfId="0" applyNumberFormat="1" applyFont="1" applyFill="1" applyBorder="1" applyAlignment="1" applyProtection="1">
      <alignment vertical="center"/>
      <protection locked="0"/>
    </xf>
    <xf numFmtId="14" fontId="13" fillId="0" borderId="11" xfId="0" applyNumberFormat="1" applyFont="1" applyFill="1" applyBorder="1" applyAlignment="1" applyProtection="1">
      <alignment horizontal="center" vertical="center" wrapText="1"/>
      <protection locked="0"/>
    </xf>
    <xf numFmtId="165" fontId="13" fillId="0" borderId="11" xfId="0" applyNumberFormat="1" applyFont="1" applyFill="1" applyBorder="1" applyAlignment="1" applyProtection="1">
      <alignment horizontal="center" vertical="center" wrapText="1"/>
      <protection locked="0"/>
    </xf>
    <xf numFmtId="0" fontId="13" fillId="0" borderId="0" xfId="0" applyFont="1" applyFill="1" applyAlignment="1"/>
    <xf numFmtId="170" fontId="13" fillId="0" borderId="0" xfId="0" applyNumberFormat="1" applyFont="1" applyFill="1" applyAlignment="1">
      <alignment horizontal="center" vertical="center"/>
    </xf>
    <xf numFmtId="0" fontId="13" fillId="0" borderId="0" xfId="0" applyFont="1" applyFill="1" applyAlignment="1">
      <alignment horizontal="center"/>
    </xf>
    <xf numFmtId="9" fontId="31" fillId="0" borderId="0" xfId="0" applyNumberFormat="1" applyFont="1" applyFill="1" applyBorder="1" applyAlignment="1" applyProtection="1">
      <alignment horizontal="center" vertical="center" wrapText="1"/>
      <protection locked="0"/>
    </xf>
    <xf numFmtId="0" fontId="1" fillId="0" borderId="0" xfId="0" applyFont="1" applyFill="1" applyBorder="1" applyAlignment="1">
      <alignment vertical="center"/>
    </xf>
    <xf numFmtId="44" fontId="13" fillId="0" borderId="1" xfId="1" applyFont="1" applyFill="1" applyBorder="1" applyAlignment="1" applyProtection="1">
      <alignment horizontal="center" vertical="center" wrapText="1"/>
      <protection locked="0"/>
    </xf>
    <xf numFmtId="0" fontId="1" fillId="3" borderId="1" xfId="0" applyFont="1" applyFill="1" applyBorder="1" applyAlignment="1">
      <alignment horizontal="center" vertical="center"/>
    </xf>
    <xf numFmtId="169" fontId="26" fillId="3" borderId="1" xfId="4" applyNumberFormat="1" applyFont="1" applyFill="1" applyBorder="1" applyAlignment="1">
      <alignment horizontal="right" vertical="center" wrapText="1"/>
    </xf>
    <xf numFmtId="166" fontId="26" fillId="0" borderId="1" xfId="1" applyNumberFormat="1" applyFont="1" applyFill="1" applyBorder="1" applyAlignment="1" applyProtection="1">
      <alignment horizontal="right" vertical="center" wrapText="1"/>
      <protection locked="0"/>
    </xf>
    <xf numFmtId="0" fontId="13" fillId="0" borderId="1" xfId="0" applyFont="1" applyFill="1" applyBorder="1" applyAlignment="1">
      <alignment horizontal="center" vertical="center" wrapText="1"/>
    </xf>
    <xf numFmtId="165" fontId="13" fillId="0" borderId="1" xfId="0" applyNumberFormat="1" applyFont="1" applyFill="1" applyBorder="1" applyAlignment="1" applyProtection="1">
      <alignment horizontal="center" vertical="center" wrapText="1"/>
      <protection locked="0"/>
    </xf>
    <xf numFmtId="165" fontId="13" fillId="3" borderId="1" xfId="0" applyNumberFormat="1" applyFont="1" applyFill="1" applyBorder="1" applyAlignment="1" applyProtection="1">
      <alignment horizontal="center" vertical="center" wrapText="1"/>
      <protection locked="0"/>
    </xf>
    <xf numFmtId="0" fontId="13" fillId="3" borderId="1" xfId="0" applyFont="1" applyFill="1" applyBorder="1" applyAlignment="1">
      <alignment horizontal="center" vertical="center" wrapText="1"/>
    </xf>
    <xf numFmtId="166" fontId="28" fillId="0" borderId="11" xfId="1" applyNumberFormat="1" applyFont="1" applyFill="1" applyBorder="1" applyAlignment="1" applyProtection="1">
      <alignment horizontal="center" vertical="center" wrapText="1"/>
      <protection locked="0"/>
    </xf>
    <xf numFmtId="10" fontId="26" fillId="0" borderId="1" xfId="0" applyNumberFormat="1" applyFont="1" applyFill="1" applyBorder="1" applyAlignment="1" applyProtection="1">
      <alignment horizontal="center" vertical="center" wrapText="1"/>
      <protection locked="0"/>
    </xf>
    <xf numFmtId="10" fontId="26" fillId="3" borderId="1" xfId="0" applyNumberFormat="1" applyFont="1" applyFill="1" applyBorder="1" applyAlignment="1" applyProtection="1">
      <alignment horizontal="center" vertical="center" wrapText="1"/>
      <protection locked="0"/>
    </xf>
    <xf numFmtId="170" fontId="13" fillId="3" borderId="1" xfId="0" applyNumberFormat="1" applyFont="1" applyFill="1" applyBorder="1" applyAlignment="1" applyProtection="1">
      <alignment horizontal="center" vertical="center"/>
      <protection locked="0"/>
    </xf>
    <xf numFmtId="0" fontId="13" fillId="3" borderId="1" xfId="0" applyFont="1" applyFill="1" applyBorder="1" applyAlignment="1">
      <alignment horizontal="center" vertical="center"/>
    </xf>
    <xf numFmtId="0" fontId="13" fillId="3" borderId="1" xfId="0" applyFont="1" applyFill="1" applyBorder="1" applyAlignment="1">
      <alignment horizontal="left" vertical="center" wrapText="1"/>
    </xf>
    <xf numFmtId="0" fontId="13" fillId="3" borderId="1" xfId="0" applyFont="1" applyFill="1" applyBorder="1" applyAlignment="1">
      <alignment vertical="center" wrapText="1"/>
    </xf>
    <xf numFmtId="0" fontId="13" fillId="3" borderId="1" xfId="0" applyFont="1" applyFill="1" applyBorder="1"/>
    <xf numFmtId="44" fontId="26" fillId="3" borderId="1" xfId="1" applyFont="1" applyFill="1" applyBorder="1" applyAlignment="1">
      <alignment vertical="center"/>
    </xf>
    <xf numFmtId="10" fontId="26" fillId="3" borderId="1" xfId="0" applyNumberFormat="1" applyFont="1" applyFill="1" applyBorder="1" applyAlignment="1">
      <alignment horizontal="center" vertical="center"/>
    </xf>
    <xf numFmtId="10" fontId="13" fillId="3" borderId="1" xfId="0" applyNumberFormat="1" applyFont="1" applyFill="1" applyBorder="1" applyAlignment="1" applyProtection="1">
      <alignment horizontal="center" vertical="center" wrapText="1"/>
      <protection locked="0"/>
    </xf>
    <xf numFmtId="170" fontId="13" fillId="3" borderId="1" xfId="0" applyNumberFormat="1" applyFont="1" applyFill="1" applyBorder="1" applyAlignment="1">
      <alignment horizontal="center" vertical="center"/>
    </xf>
    <xf numFmtId="0" fontId="13" fillId="3" borderId="1" xfId="0" applyFont="1" applyFill="1" applyBorder="1" applyAlignment="1">
      <alignment horizontal="left" vertical="center"/>
    </xf>
    <xf numFmtId="166" fontId="15" fillId="3" borderId="0" xfId="0" applyNumberFormat="1" applyFont="1" applyFill="1" applyBorder="1" applyAlignment="1" applyProtection="1">
      <alignment horizontal="left" vertical="center"/>
    </xf>
    <xf numFmtId="166" fontId="26" fillId="3" borderId="1" xfId="1" applyNumberFormat="1" applyFont="1" applyFill="1" applyBorder="1" applyAlignment="1">
      <alignment vertical="center"/>
    </xf>
    <xf numFmtId="171" fontId="15" fillId="0" borderId="0" xfId="4" applyNumberFormat="1" applyFont="1" applyAlignment="1">
      <alignment vertical="center" wrapText="1"/>
    </xf>
    <xf numFmtId="166" fontId="13" fillId="0" borderId="1" xfId="0" applyNumberFormat="1" applyFont="1" applyFill="1" applyBorder="1" applyAlignment="1">
      <alignment vertical="center" wrapText="1"/>
    </xf>
    <xf numFmtId="166" fontId="13" fillId="3" borderId="1" xfId="0" applyNumberFormat="1" applyFont="1" applyFill="1" applyBorder="1"/>
    <xf numFmtId="10" fontId="28" fillId="3" borderId="0" xfId="5" applyNumberFormat="1" applyFont="1" applyFill="1" applyBorder="1" applyAlignment="1" applyProtection="1">
      <alignment vertical="center" wrapText="1"/>
    </xf>
    <xf numFmtId="166" fontId="28" fillId="3" borderId="0" xfId="0" applyNumberFormat="1" applyFont="1" applyFill="1" applyBorder="1" applyAlignment="1" applyProtection="1">
      <alignment vertical="center" wrapText="1"/>
    </xf>
    <xf numFmtId="10" fontId="26" fillId="3" borderId="1" xfId="5" applyNumberFormat="1" applyFont="1" applyFill="1" applyBorder="1" applyAlignment="1">
      <alignment horizontal="center" vertical="center"/>
    </xf>
    <xf numFmtId="10" fontId="26" fillId="3" borderId="1" xfId="5" applyNumberFormat="1" applyFont="1" applyFill="1" applyBorder="1" applyAlignment="1">
      <alignment horizontal="center" vertical="center" wrapText="1"/>
    </xf>
    <xf numFmtId="166" fontId="26" fillId="3" borderId="1" xfId="1" applyNumberFormat="1" applyFont="1" applyFill="1" applyBorder="1" applyAlignment="1">
      <alignment horizontal="center" vertical="center"/>
    </xf>
    <xf numFmtId="0" fontId="1" fillId="3" borderId="1" xfId="0" applyFont="1" applyFill="1" applyBorder="1" applyAlignment="1">
      <alignment horizontal="justify" vertical="center" wrapText="1"/>
    </xf>
    <xf numFmtId="10" fontId="41" fillId="3" borderId="1" xfId="5" applyNumberFormat="1" applyFont="1" applyFill="1" applyBorder="1" applyAlignment="1">
      <alignment horizontal="center" vertical="center"/>
    </xf>
    <xf numFmtId="0" fontId="26" fillId="3" borderId="1" xfId="0" applyFont="1" applyFill="1" applyBorder="1"/>
    <xf numFmtId="0" fontId="26" fillId="3" borderId="1" xfId="0" applyFont="1" applyFill="1" applyBorder="1" applyAlignment="1">
      <alignment vertical="center" wrapText="1"/>
    </xf>
    <xf numFmtId="10" fontId="26" fillId="3" borderId="1" xfId="0" applyNumberFormat="1" applyFont="1" applyFill="1" applyBorder="1" applyAlignment="1">
      <alignment horizontal="center" vertical="center" wrapText="1"/>
    </xf>
    <xf numFmtId="169" fontId="26" fillId="3" borderId="1" xfId="4" applyNumberFormat="1" applyFont="1" applyFill="1" applyBorder="1" applyAlignment="1">
      <alignment vertical="center" wrapText="1"/>
    </xf>
    <xf numFmtId="166" fontId="26" fillId="3" borderId="1" xfId="0" applyNumberFormat="1" applyFont="1" applyFill="1" applyBorder="1"/>
    <xf numFmtId="169" fontId="26" fillId="3" borderId="1" xfId="4" applyNumberFormat="1" applyFont="1" applyFill="1" applyBorder="1" applyAlignment="1">
      <alignment vertical="center"/>
    </xf>
    <xf numFmtId="169" fontId="26" fillId="3" borderId="1" xfId="0" applyNumberFormat="1" applyFont="1" applyFill="1" applyBorder="1"/>
    <xf numFmtId="166" fontId="26" fillId="3" borderId="1" xfId="1" applyNumberFormat="1" applyFont="1" applyFill="1" applyBorder="1" applyAlignment="1">
      <alignment vertical="center" wrapText="1"/>
    </xf>
    <xf numFmtId="167" fontId="26" fillId="3" borderId="1" xfId="4" applyNumberFormat="1" applyFont="1" applyFill="1" applyBorder="1" applyAlignment="1">
      <alignment vertical="center"/>
    </xf>
    <xf numFmtId="168" fontId="26" fillId="3" borderId="1" xfId="4" applyNumberFormat="1" applyFont="1" applyFill="1" applyBorder="1" applyAlignment="1">
      <alignment horizontal="right" vertical="center"/>
    </xf>
    <xf numFmtId="10" fontId="28" fillId="3" borderId="1" xfId="0" applyNumberFormat="1" applyFont="1" applyFill="1" applyBorder="1" applyAlignment="1">
      <alignment horizontal="center" vertical="center"/>
    </xf>
    <xf numFmtId="0" fontId="13" fillId="0" borderId="1" xfId="0" applyFont="1" applyFill="1" applyBorder="1" applyAlignment="1">
      <alignment horizontal="center" vertical="center" wrapText="1"/>
    </xf>
    <xf numFmtId="10" fontId="39" fillId="0" borderId="1" xfId="0" applyNumberFormat="1" applyFont="1" applyFill="1" applyBorder="1" applyAlignment="1">
      <alignment horizontal="center" vertical="center"/>
    </xf>
    <xf numFmtId="166" fontId="39" fillId="0" borderId="1" xfId="1" applyNumberFormat="1" applyFont="1" applyFill="1" applyBorder="1" applyAlignment="1" applyProtection="1">
      <alignment horizontal="center" vertical="center" wrapText="1"/>
      <protection locked="0"/>
    </xf>
    <xf numFmtId="9" fontId="39" fillId="0" borderId="1" xfId="0" applyNumberFormat="1" applyFont="1" applyFill="1" applyBorder="1" applyAlignment="1" applyProtection="1">
      <alignment horizontal="center" vertical="center" wrapText="1"/>
      <protection locked="0"/>
    </xf>
    <xf numFmtId="0" fontId="7" fillId="0" borderId="10" xfId="0" applyFont="1" applyBorder="1" applyAlignment="1" applyProtection="1">
      <alignment horizontal="justify" vertical="center" wrapText="1"/>
      <protection locked="0"/>
    </xf>
    <xf numFmtId="0" fontId="7" fillId="0" borderId="11" xfId="0" applyFont="1" applyBorder="1" applyAlignment="1" applyProtection="1">
      <alignment horizontal="justify" vertical="center" wrapText="1"/>
      <protection locked="0"/>
    </xf>
    <xf numFmtId="0" fontId="7" fillId="0" borderId="12" xfId="0" applyFont="1" applyBorder="1" applyAlignment="1" applyProtection="1">
      <alignment horizontal="justify" vertical="center" wrapText="1"/>
      <protection locked="0"/>
    </xf>
    <xf numFmtId="0" fontId="6" fillId="0" borderId="10" xfId="0" applyFont="1" applyBorder="1" applyAlignment="1">
      <alignment horizontal="left" vertical="center" wrapText="1"/>
    </xf>
    <xf numFmtId="0" fontId="6" fillId="0" borderId="12" xfId="0" applyFont="1" applyBorder="1" applyAlignment="1">
      <alignment horizontal="left" vertical="center" wrapText="1"/>
    </xf>
    <xf numFmtId="0" fontId="17" fillId="0" borderId="10" xfId="0" applyFont="1" applyBorder="1" applyAlignment="1" applyProtection="1">
      <alignment horizontal="left" vertical="center" wrapText="1"/>
      <protection locked="0"/>
    </xf>
    <xf numFmtId="0" fontId="17" fillId="0" borderId="11" xfId="0" applyFont="1" applyBorder="1" applyAlignment="1" applyProtection="1">
      <alignment horizontal="left" vertical="center" wrapText="1"/>
      <protection locked="0"/>
    </xf>
    <xf numFmtId="0" fontId="17" fillId="0" borderId="12" xfId="0" applyFont="1" applyBorder="1" applyAlignment="1" applyProtection="1">
      <alignment horizontal="left" vertical="center" wrapText="1"/>
      <protection locked="0"/>
    </xf>
    <xf numFmtId="0" fontId="6" fillId="0" borderId="1" xfId="0" applyFont="1" applyBorder="1" applyAlignment="1">
      <alignment horizontal="left" vertical="center" wrapText="1"/>
    </xf>
    <xf numFmtId="0" fontId="6" fillId="0" borderId="11" xfId="0" applyFont="1" applyBorder="1" applyAlignment="1">
      <alignment horizontal="left" vertical="center" wrapText="1"/>
    </xf>
    <xf numFmtId="0" fontId="17" fillId="0" borderId="10" xfId="0" applyFont="1" applyBorder="1" applyAlignment="1" applyProtection="1">
      <alignment horizontal="justify" vertical="center" wrapText="1"/>
      <protection locked="0"/>
    </xf>
    <xf numFmtId="0" fontId="17" fillId="0" borderId="11" xfId="0" applyFont="1" applyBorder="1" applyAlignment="1" applyProtection="1">
      <alignment horizontal="justify" vertical="center" wrapText="1"/>
      <protection locked="0"/>
    </xf>
    <xf numFmtId="0" fontId="17" fillId="0" borderId="12" xfId="0" applyFont="1" applyBorder="1" applyAlignment="1" applyProtection="1">
      <alignment horizontal="justify" vertical="center" wrapText="1"/>
      <protection locked="0"/>
    </xf>
    <xf numFmtId="0" fontId="1" fillId="0" borderId="1" xfId="0" applyFont="1" applyBorder="1" applyAlignment="1">
      <alignment horizont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8" fillId="2" borderId="1" xfId="0" applyFont="1" applyFill="1" applyBorder="1" applyAlignment="1">
      <alignment horizontal="center" vertical="center" wrapText="1"/>
    </xf>
    <xf numFmtId="170" fontId="6" fillId="2" borderId="1" xfId="0" applyNumberFormat="1" applyFont="1" applyFill="1" applyBorder="1" applyAlignment="1">
      <alignment horizontal="center" vertical="center" wrapText="1"/>
    </xf>
    <xf numFmtId="0" fontId="1" fillId="3" borderId="1" xfId="0" applyFont="1" applyFill="1" applyBorder="1" applyAlignment="1" applyProtection="1">
      <alignment vertical="center" wrapText="1"/>
      <protection locked="0"/>
    </xf>
    <xf numFmtId="0" fontId="22" fillId="3"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9" fillId="2" borderId="10"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9" fillId="0" borderId="1" xfId="0" applyFont="1" applyBorder="1" applyAlignment="1" applyProtection="1">
      <alignment horizontal="center" vertical="center" wrapText="1"/>
      <protection locked="0"/>
    </xf>
    <xf numFmtId="9" fontId="1" fillId="0" borderId="10" xfId="0" applyNumberFormat="1" applyFont="1" applyBorder="1" applyAlignment="1" applyProtection="1">
      <alignment horizontal="center" vertical="center" wrapText="1"/>
      <protection locked="0"/>
    </xf>
    <xf numFmtId="9" fontId="1" fillId="0" borderId="11" xfId="0" applyNumberFormat="1" applyFont="1" applyBorder="1" applyAlignment="1" applyProtection="1">
      <alignment horizontal="center" vertical="center" wrapText="1"/>
      <protection locked="0"/>
    </xf>
    <xf numFmtId="9" fontId="1" fillId="0" borderId="12" xfId="0" applyNumberFormat="1" applyFont="1" applyBorder="1" applyAlignment="1" applyProtection="1">
      <alignment horizontal="center" vertical="center" wrapText="1"/>
      <protection locked="0"/>
    </xf>
    <xf numFmtId="166" fontId="28" fillId="0" borderId="1" xfId="1" applyNumberFormat="1" applyFont="1" applyBorder="1" applyAlignment="1" applyProtection="1">
      <alignment horizontal="center" vertical="center" wrapText="1"/>
      <protection locked="0"/>
    </xf>
    <xf numFmtId="0" fontId="1"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horizontal="center" vertical="center" wrapText="1"/>
      <protection locked="0"/>
    </xf>
    <xf numFmtId="0" fontId="5" fillId="7" borderId="1" xfId="0" applyFont="1" applyFill="1" applyBorder="1" applyAlignment="1">
      <alignment horizontal="center" vertical="center" wrapText="1"/>
    </xf>
    <xf numFmtId="44" fontId="13" fillId="0" borderId="1" xfId="1" applyFont="1" applyFill="1" applyBorder="1" applyAlignment="1" applyProtection="1">
      <alignment horizontal="center" vertical="center" wrapText="1"/>
      <protection locked="0"/>
    </xf>
    <xf numFmtId="0" fontId="13" fillId="0" borderId="10" xfId="0" applyFont="1" applyFill="1" applyBorder="1" applyAlignment="1" applyProtection="1">
      <alignment horizontal="center" vertical="center" wrapText="1"/>
      <protection locked="0"/>
    </xf>
    <xf numFmtId="0" fontId="13" fillId="0" borderId="11" xfId="0" applyFont="1" applyFill="1" applyBorder="1" applyAlignment="1" applyProtection="1">
      <alignment horizontal="center" vertical="center" wrapText="1"/>
      <protection locked="0"/>
    </xf>
    <xf numFmtId="0" fontId="13" fillId="0" borderId="12" xfId="0" applyFont="1" applyFill="1" applyBorder="1" applyAlignment="1" applyProtection="1">
      <alignment horizontal="center" vertical="center" wrapText="1"/>
      <protection locked="0"/>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169" fontId="26" fillId="3" borderId="1" xfId="4" applyNumberFormat="1" applyFont="1" applyFill="1" applyBorder="1" applyAlignment="1">
      <alignment horizontal="right" vertical="center" wrapText="1"/>
    </xf>
    <xf numFmtId="166" fontId="26" fillId="3" borderId="15" xfId="1" applyNumberFormat="1" applyFont="1" applyFill="1" applyBorder="1" applyAlignment="1" applyProtection="1">
      <alignment horizontal="center" vertical="center" wrapText="1"/>
      <protection locked="0"/>
    </xf>
    <xf numFmtId="166" fontId="26" fillId="3" borderId="13" xfId="1" applyNumberFormat="1" applyFont="1" applyFill="1" applyBorder="1" applyAlignment="1" applyProtection="1">
      <alignment horizontal="center" vertical="center" wrapText="1"/>
      <protection locked="0"/>
    </xf>
    <xf numFmtId="166" fontId="28" fillId="0" borderId="10" xfId="1" applyNumberFormat="1" applyFont="1" applyBorder="1" applyAlignment="1" applyProtection="1">
      <alignment horizontal="center" vertical="center" wrapText="1"/>
      <protection locked="0"/>
    </xf>
    <xf numFmtId="166" fontId="28" fillId="0" borderId="12" xfId="1" applyNumberFormat="1"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44" fontId="13" fillId="3" borderId="1" xfId="1" applyFont="1" applyFill="1" applyBorder="1" applyAlignment="1" applyProtection="1">
      <alignment horizontal="center" vertical="center" wrapText="1"/>
      <protection locked="0"/>
    </xf>
    <xf numFmtId="0" fontId="9" fillId="0" borderId="11" xfId="0" applyFont="1" applyBorder="1" applyAlignment="1" applyProtection="1">
      <alignment horizontal="center" vertical="center" wrapText="1"/>
      <protection locked="0"/>
    </xf>
    <xf numFmtId="0" fontId="1" fillId="3" borderId="10"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4"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44" fontId="1" fillId="3" borderId="1" xfId="1" applyFont="1" applyFill="1" applyBorder="1" applyAlignment="1" applyProtection="1">
      <alignment horizontal="center" vertical="center" wrapText="1"/>
      <protection locked="0"/>
    </xf>
    <xf numFmtId="0" fontId="1" fillId="3" borderId="1" xfId="0" applyFont="1" applyFill="1" applyBorder="1" applyAlignment="1">
      <alignment horizontal="center"/>
    </xf>
    <xf numFmtId="0" fontId="9" fillId="3" borderId="10" xfId="0" applyFont="1" applyFill="1" applyBorder="1" applyAlignment="1" applyProtection="1">
      <alignment horizontal="center" vertical="center" wrapText="1"/>
      <protection locked="0"/>
    </xf>
    <xf numFmtId="0" fontId="9" fillId="3" borderId="11" xfId="0" applyFont="1" applyFill="1" applyBorder="1" applyAlignment="1" applyProtection="1">
      <alignment horizontal="center" vertical="center" wrapText="1"/>
      <protection locked="0"/>
    </xf>
    <xf numFmtId="0" fontId="9" fillId="3" borderId="12" xfId="0" applyFont="1" applyFill="1" applyBorder="1" applyAlignment="1" applyProtection="1">
      <alignment horizontal="center" vertical="center" wrapText="1"/>
      <protection locked="0"/>
    </xf>
    <xf numFmtId="44" fontId="1" fillId="3" borderId="10" xfId="1" applyFont="1" applyFill="1" applyBorder="1" applyAlignment="1" applyProtection="1">
      <alignment horizontal="center" vertical="center" wrapText="1"/>
      <protection locked="0"/>
    </xf>
    <xf numFmtId="44" fontId="1" fillId="3" borderId="12" xfId="1" applyFont="1" applyFill="1" applyBorder="1" applyAlignment="1" applyProtection="1">
      <alignment horizontal="center" vertical="center" wrapText="1"/>
      <protection locked="0"/>
    </xf>
    <xf numFmtId="0" fontId="1" fillId="3" borderId="2"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14" xfId="0" applyFont="1" applyFill="1" applyBorder="1" applyAlignment="1" applyProtection="1">
      <alignment horizontal="center" vertical="center" wrapText="1"/>
      <protection locked="0"/>
    </xf>
    <xf numFmtId="0" fontId="1" fillId="3" borderId="13" xfId="0" applyFont="1" applyFill="1" applyBorder="1" applyAlignment="1" applyProtection="1">
      <alignment horizontal="center" vertical="center" wrapText="1"/>
      <protection locked="0"/>
    </xf>
    <xf numFmtId="165" fontId="1" fillId="3" borderId="14" xfId="0" applyNumberFormat="1" applyFont="1" applyFill="1" applyBorder="1" applyAlignment="1" applyProtection="1">
      <alignment horizontal="center" vertical="center" wrapText="1"/>
      <protection locked="0"/>
    </xf>
    <xf numFmtId="165" fontId="1" fillId="3" borderId="13" xfId="0" applyNumberFormat="1" applyFont="1" applyFill="1" applyBorder="1" applyAlignment="1" applyProtection="1">
      <alignment horizontal="center" vertical="center" wrapText="1"/>
      <protection locked="0"/>
    </xf>
    <xf numFmtId="166" fontId="26" fillId="0" borderId="1" xfId="1" applyNumberFormat="1" applyFont="1" applyFill="1" applyBorder="1" applyAlignment="1">
      <alignment horizontal="center" vertical="center"/>
    </xf>
    <xf numFmtId="166" fontId="26" fillId="3" borderId="1" xfId="1" applyNumberFormat="1" applyFont="1" applyFill="1" applyBorder="1" applyAlignment="1" applyProtection="1">
      <alignment horizontal="right" vertical="center" wrapText="1"/>
      <protection locked="0"/>
    </xf>
    <xf numFmtId="166" fontId="26" fillId="3" borderId="1" xfId="1" applyNumberFormat="1" applyFont="1" applyFill="1" applyBorder="1" applyAlignment="1" applyProtection="1">
      <alignment horizontal="center" vertical="center" wrapText="1"/>
      <protection locked="0"/>
    </xf>
    <xf numFmtId="0" fontId="13"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3" borderId="1" xfId="1"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left" vertical="center" wrapText="1"/>
      <protection locked="0"/>
    </xf>
    <xf numFmtId="14" fontId="37" fillId="0"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166" fontId="26" fillId="0" borderId="1" xfId="1" applyNumberFormat="1" applyFont="1" applyFill="1" applyBorder="1" applyAlignment="1" applyProtection="1">
      <alignment horizontal="center" vertical="center" wrapText="1"/>
      <protection locked="0"/>
    </xf>
    <xf numFmtId="0" fontId="13" fillId="0" borderId="0" xfId="0" applyFont="1" applyFill="1" applyBorder="1" applyAlignment="1">
      <alignment horizontal="center" vertical="center" wrapText="1"/>
    </xf>
    <xf numFmtId="167" fontId="26" fillId="3" borderId="1" xfId="4" applyNumberFormat="1" applyFont="1" applyFill="1" applyBorder="1" applyAlignment="1">
      <alignment horizontal="center" vertical="center"/>
    </xf>
    <xf numFmtId="165" fontId="13" fillId="3" borderId="1" xfId="0" applyNumberFormat="1" applyFont="1" applyFill="1" applyBorder="1" applyAlignment="1" applyProtection="1">
      <alignment horizontal="center" vertical="center" wrapText="1"/>
      <protection locked="0"/>
    </xf>
    <xf numFmtId="17" fontId="13" fillId="0" borderId="1" xfId="0" applyNumberFormat="1" applyFont="1" applyFill="1" applyBorder="1" applyAlignment="1" applyProtection="1">
      <alignment horizontal="center" vertical="center" wrapText="1"/>
      <protection locked="0"/>
    </xf>
    <xf numFmtId="17" fontId="13" fillId="0" borderId="1" xfId="0" applyNumberFormat="1" applyFont="1" applyFill="1" applyBorder="1" applyAlignment="1" applyProtection="1">
      <alignment horizontal="center" vertical="center"/>
      <protection locked="0"/>
    </xf>
    <xf numFmtId="166" fontId="26" fillId="3" borderId="15" xfId="1" applyNumberFormat="1" applyFont="1" applyFill="1" applyBorder="1" applyAlignment="1">
      <alignment horizontal="center" vertical="center"/>
    </xf>
    <xf numFmtId="166" fontId="26" fillId="3" borderId="14" xfId="1" applyNumberFormat="1" applyFont="1" applyFill="1" applyBorder="1" applyAlignment="1">
      <alignment horizontal="center" vertical="center"/>
    </xf>
    <xf numFmtId="166" fontId="26" fillId="3" borderId="13" xfId="1" applyNumberFormat="1" applyFont="1" applyFill="1" applyBorder="1" applyAlignment="1">
      <alignment horizontal="center" vertical="center"/>
    </xf>
    <xf numFmtId="170" fontId="13" fillId="0" borderId="1" xfId="0" applyNumberFormat="1" applyFont="1" applyFill="1" applyBorder="1" applyAlignment="1" applyProtection="1">
      <alignment horizontal="center" vertical="center"/>
      <protection locked="0"/>
    </xf>
    <xf numFmtId="10" fontId="26" fillId="0" borderId="1" xfId="0" applyNumberFormat="1" applyFont="1" applyFill="1" applyBorder="1" applyAlignment="1" applyProtection="1">
      <alignment horizontal="center" vertical="center" wrapText="1"/>
      <protection locked="0"/>
    </xf>
    <xf numFmtId="0" fontId="29" fillId="0" borderId="1" xfId="0" applyFont="1" applyFill="1" applyBorder="1" applyAlignment="1" applyProtection="1">
      <alignment horizontal="center" vertical="center" wrapText="1"/>
      <protection locked="0"/>
    </xf>
    <xf numFmtId="0" fontId="13" fillId="3" borderId="1" xfId="0" applyFont="1" applyFill="1" applyBorder="1" applyAlignment="1">
      <alignment horizontal="center" vertical="center" wrapText="1"/>
    </xf>
    <xf numFmtId="9" fontId="38" fillId="0" borderId="1" xfId="0" applyNumberFormat="1" applyFont="1" applyFill="1" applyBorder="1" applyAlignment="1" applyProtection="1">
      <alignment horizontal="center" vertical="center" wrapText="1"/>
      <protection locked="0"/>
    </xf>
    <xf numFmtId="14" fontId="13" fillId="3" borderId="1" xfId="0" applyNumberFormat="1" applyFont="1" applyFill="1" applyBorder="1" applyAlignment="1" applyProtection="1">
      <alignment horizontal="center" vertical="center" wrapText="1"/>
      <protection locked="0"/>
    </xf>
    <xf numFmtId="0" fontId="29" fillId="3" borderId="0" xfId="0" applyFont="1" applyFill="1" applyBorder="1" applyAlignment="1">
      <alignment horizontal="center" vertical="center" wrapText="1"/>
    </xf>
    <xf numFmtId="170" fontId="29" fillId="3" borderId="0" xfId="0" applyNumberFormat="1" applyFont="1" applyFill="1" applyBorder="1" applyAlignment="1">
      <alignment horizontal="center" vertical="center" wrapText="1"/>
    </xf>
    <xf numFmtId="0" fontId="38" fillId="3" borderId="0" xfId="0" applyFont="1" applyFill="1" applyBorder="1" applyAlignment="1">
      <alignment horizontal="center" vertical="center" wrapText="1"/>
    </xf>
    <xf numFmtId="0" fontId="29" fillId="0" borderId="10" xfId="0" applyFont="1" applyFill="1" applyBorder="1" applyAlignment="1">
      <alignment horizontal="center" vertical="center" wrapText="1"/>
    </xf>
    <xf numFmtId="0" fontId="29" fillId="0" borderId="11" xfId="0" applyFont="1" applyFill="1" applyBorder="1" applyAlignment="1">
      <alignment horizontal="center" vertical="center" wrapText="1"/>
    </xf>
    <xf numFmtId="0" fontId="29" fillId="0" borderId="12" xfId="0" applyFont="1" applyFill="1" applyBorder="1" applyAlignment="1">
      <alignment horizontal="center" vertical="center" wrapText="1"/>
    </xf>
    <xf numFmtId="9" fontId="13" fillId="0" borderId="0" xfId="0"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14" fontId="13" fillId="0" borderId="14" xfId="0" applyNumberFormat="1" applyFont="1" applyFill="1" applyBorder="1" applyAlignment="1" applyProtection="1">
      <alignment horizontal="center" vertical="center" wrapText="1"/>
      <protection locked="0"/>
    </xf>
    <xf numFmtId="0" fontId="13" fillId="0"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1" xfId="0" applyFont="1" applyBorder="1" applyAlignment="1">
      <alignment horizontal="center"/>
    </xf>
    <xf numFmtId="0" fontId="28" fillId="2" borderId="4" xfId="0" applyFont="1" applyFill="1" applyBorder="1" applyAlignment="1">
      <alignment horizontal="center" vertical="center" wrapText="1"/>
    </xf>
    <xf numFmtId="0" fontId="28" fillId="2" borderId="9" xfId="0" applyFont="1" applyFill="1" applyBorder="1" applyAlignment="1">
      <alignment horizontal="center" vertical="center" wrapText="1"/>
    </xf>
    <xf numFmtId="0" fontId="28" fillId="2" borderId="5" xfId="0" applyFont="1" applyFill="1" applyBorder="1" applyAlignment="1">
      <alignment horizontal="center" vertical="center" wrapText="1"/>
    </xf>
    <xf numFmtId="0" fontId="28" fillId="2" borderId="6" xfId="0" applyFont="1" applyFill="1" applyBorder="1" applyAlignment="1">
      <alignment horizontal="center" vertical="center" wrapText="1"/>
    </xf>
    <xf numFmtId="0" fontId="28" fillId="2" borderId="7" xfId="0" applyFont="1" applyFill="1" applyBorder="1" applyAlignment="1">
      <alignment horizontal="center" vertical="center" wrapText="1"/>
    </xf>
    <xf numFmtId="0" fontId="28" fillId="2" borderId="8"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32" fillId="2" borderId="10" xfId="0" applyFont="1" applyFill="1" applyBorder="1" applyAlignment="1">
      <alignment horizontal="center" vertical="center" wrapText="1"/>
    </xf>
    <xf numFmtId="0" fontId="32" fillId="2" borderId="11" xfId="0" applyFont="1" applyFill="1" applyBorder="1" applyAlignment="1">
      <alignment horizontal="center" vertical="center" wrapText="1"/>
    </xf>
    <xf numFmtId="0" fontId="32" fillId="2" borderId="12" xfId="0" applyFont="1" applyFill="1" applyBorder="1" applyAlignment="1">
      <alignment horizontal="center" vertical="center" wrapText="1"/>
    </xf>
    <xf numFmtId="170" fontId="15" fillId="2" borderId="1" xfId="0" applyNumberFormat="1" applyFont="1" applyFill="1" applyBorder="1" applyAlignment="1">
      <alignment horizontal="center" vertical="center" wrapText="1"/>
    </xf>
    <xf numFmtId="0" fontId="35" fillId="2" borderId="1" xfId="0" applyFont="1" applyFill="1" applyBorder="1" applyAlignment="1">
      <alignment horizontal="center" vertical="center" wrapText="1"/>
    </xf>
    <xf numFmtId="0" fontId="28" fillId="2" borderId="10" xfId="0" applyFont="1" applyFill="1" applyBorder="1" applyAlignment="1">
      <alignment horizontal="center" vertical="center" wrapText="1"/>
    </xf>
    <xf numFmtId="0" fontId="28" fillId="2" borderId="12" xfId="0" applyFont="1" applyFill="1" applyBorder="1" applyAlignment="1">
      <alignment horizontal="center" vertical="center" wrapText="1"/>
    </xf>
    <xf numFmtId="0" fontId="35" fillId="0" borderId="1" xfId="0" applyFont="1" applyBorder="1" applyAlignment="1" applyProtection="1">
      <alignment horizontal="left" vertical="center" wrapText="1"/>
      <protection locked="0"/>
    </xf>
    <xf numFmtId="0" fontId="15" fillId="0" borderId="1" xfId="0" applyFont="1" applyBorder="1" applyAlignment="1">
      <alignment horizontal="left" vertical="center" wrapText="1"/>
    </xf>
    <xf numFmtId="0" fontId="13" fillId="0" borderId="1" xfId="0" applyFont="1" applyBorder="1" applyAlignment="1">
      <alignment horizontal="center"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15" fillId="0" borderId="12" xfId="0" applyFont="1" applyBorder="1" applyAlignment="1">
      <alignment horizontal="left" vertical="center" wrapText="1"/>
    </xf>
    <xf numFmtId="0" fontId="13" fillId="0" borderId="1" xfId="0" applyFont="1" applyFill="1" applyBorder="1" applyAlignment="1" applyProtection="1">
      <alignment vertical="center" wrapText="1"/>
      <protection locked="0"/>
    </xf>
    <xf numFmtId="0" fontId="13" fillId="0" borderId="1" xfId="0" applyFont="1" applyFill="1" applyBorder="1" applyAlignment="1">
      <alignment horizontal="center"/>
    </xf>
    <xf numFmtId="0" fontId="28" fillId="0" borderId="11" xfId="0" applyFont="1" applyFill="1" applyBorder="1" applyAlignment="1" applyProtection="1">
      <alignment horizontal="center" vertical="center" wrapText="1"/>
      <protection locked="0"/>
    </xf>
    <xf numFmtId="9" fontId="13" fillId="0" borderId="11" xfId="0" applyNumberFormat="1" applyFont="1" applyFill="1" applyBorder="1" applyAlignment="1" applyProtection="1">
      <alignment horizontal="center" vertical="center" wrapText="1"/>
      <protection locked="0"/>
    </xf>
    <xf numFmtId="0" fontId="28" fillId="0" borderId="1" xfId="0" applyFont="1" applyFill="1" applyBorder="1" applyAlignment="1" applyProtection="1">
      <alignment horizontal="center" vertical="center" wrapText="1"/>
      <protection locked="0"/>
    </xf>
    <xf numFmtId="9" fontId="13" fillId="0" borderId="1" xfId="0" applyNumberFormat="1" applyFont="1" applyFill="1" applyBorder="1" applyAlignment="1" applyProtection="1">
      <alignment horizontal="center" vertical="center" wrapText="1"/>
      <protection locked="0"/>
    </xf>
    <xf numFmtId="165" fontId="13" fillId="0" borderId="14" xfId="0" applyNumberFormat="1" applyFont="1" applyFill="1" applyBorder="1" applyAlignment="1" applyProtection="1">
      <alignment horizontal="center" vertical="center" wrapText="1"/>
      <protection locked="0"/>
    </xf>
    <xf numFmtId="0" fontId="13" fillId="0" borderId="1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12" xfId="0" applyFont="1" applyFill="1" applyBorder="1" applyAlignment="1">
      <alignment horizontal="center" vertical="center" wrapText="1"/>
    </xf>
    <xf numFmtId="166" fontId="26" fillId="0" borderId="9" xfId="1" applyNumberFormat="1" applyFont="1" applyFill="1" applyBorder="1" applyAlignment="1" applyProtection="1">
      <alignment horizontal="center" vertical="center" wrapText="1"/>
      <protection locked="0"/>
    </xf>
    <xf numFmtId="166" fontId="26" fillId="0" borderId="8" xfId="1" applyNumberFormat="1" applyFont="1" applyFill="1" applyBorder="1" applyAlignment="1" applyProtection="1">
      <alignment horizontal="center" vertical="center" wrapText="1"/>
      <protection locked="0"/>
    </xf>
    <xf numFmtId="0" fontId="15" fillId="3" borderId="5"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32" fillId="0" borderId="10" xfId="0" applyFont="1" applyFill="1" applyBorder="1" applyAlignment="1">
      <alignment horizontal="center" vertical="center" wrapText="1"/>
    </xf>
    <xf numFmtId="0" fontId="32" fillId="0" borderId="11" xfId="0" applyFont="1" applyFill="1" applyBorder="1" applyAlignment="1">
      <alignment horizontal="center" vertical="center" wrapText="1"/>
    </xf>
    <xf numFmtId="0" fontId="32" fillId="0" borderId="12" xfId="0" applyFont="1" applyFill="1" applyBorder="1" applyAlignment="1">
      <alignment horizontal="center" vertical="center" wrapText="1"/>
    </xf>
    <xf numFmtId="0" fontId="13" fillId="3" borderId="11" xfId="0" applyFont="1" applyFill="1" applyBorder="1" applyAlignment="1" applyProtection="1">
      <alignment horizontal="center" vertical="center" wrapText="1"/>
      <protection locked="0"/>
    </xf>
    <xf numFmtId="0" fontId="13" fillId="3" borderId="12" xfId="0" applyFont="1" applyFill="1" applyBorder="1" applyAlignment="1" applyProtection="1">
      <alignment horizontal="center" vertical="center" wrapText="1"/>
      <protection locked="0"/>
    </xf>
    <xf numFmtId="0" fontId="24" fillId="3" borderId="10" xfId="0" applyFont="1" applyFill="1" applyBorder="1" applyAlignment="1">
      <alignment horizontal="center" vertical="center"/>
    </xf>
    <xf numFmtId="0" fontId="24" fillId="3" borderId="12" xfId="0" applyFont="1" applyFill="1" applyBorder="1" applyAlignment="1">
      <alignment horizontal="center" vertical="center"/>
    </xf>
    <xf numFmtId="14" fontId="24" fillId="3" borderId="10" xfId="0" applyNumberFormat="1" applyFont="1" applyFill="1" applyBorder="1" applyAlignment="1">
      <alignment horizontal="center" vertical="center"/>
    </xf>
    <xf numFmtId="14" fontId="24" fillId="3" borderId="12" xfId="0" applyNumberFormat="1" applyFont="1" applyFill="1" applyBorder="1" applyAlignment="1">
      <alignment horizontal="center" vertical="center"/>
    </xf>
    <xf numFmtId="0" fontId="36" fillId="2" borderId="15" xfId="0" applyFont="1" applyFill="1" applyBorder="1" applyAlignment="1">
      <alignment horizontal="center" vertical="center" wrapText="1"/>
    </xf>
    <xf numFmtId="0" fontId="36" fillId="2" borderId="13" xfId="0" applyFont="1" applyFill="1" applyBorder="1" applyAlignment="1">
      <alignment horizontal="center" vertical="center" wrapText="1"/>
    </xf>
    <xf numFmtId="0" fontId="33" fillId="0" borderId="1" xfId="0" applyFont="1" applyBorder="1" applyAlignment="1">
      <alignment horizontal="center" vertical="center" wrapText="1"/>
    </xf>
    <xf numFmtId="0" fontId="26" fillId="0" borderId="1" xfId="0" applyFont="1" applyFill="1" applyBorder="1" applyAlignment="1">
      <alignment horizontal="center" vertical="center" wrapText="1"/>
    </xf>
    <xf numFmtId="10" fontId="26" fillId="3" borderId="1" xfId="5" applyNumberFormat="1" applyFont="1" applyFill="1" applyBorder="1" applyAlignment="1">
      <alignment horizontal="center" vertical="center" wrapText="1"/>
    </xf>
    <xf numFmtId="0" fontId="24" fillId="3" borderId="0" xfId="0" applyFont="1" applyFill="1" applyBorder="1" applyAlignment="1" applyProtection="1">
      <alignment horizontal="center" vertical="center"/>
    </xf>
    <xf numFmtId="0" fontId="28" fillId="3" borderId="7" xfId="0" applyFont="1" applyFill="1" applyBorder="1" applyAlignment="1" applyProtection="1">
      <alignment horizontal="center" vertical="center" wrapText="1"/>
      <protection locked="0"/>
    </xf>
    <xf numFmtId="0" fontId="34" fillId="0" borderId="1" xfId="0" applyFont="1" applyBorder="1" applyAlignment="1">
      <alignment horizontal="center" vertical="center" wrapText="1"/>
    </xf>
    <xf numFmtId="0" fontId="32" fillId="2" borderId="1" xfId="0" applyFont="1" applyFill="1" applyBorder="1" applyAlignment="1">
      <alignment horizontal="center" vertical="center" wrapText="1"/>
    </xf>
    <xf numFmtId="0" fontId="26" fillId="0" borderId="1" xfId="0" applyFont="1" applyBorder="1" applyAlignment="1" applyProtection="1">
      <alignment horizontal="center" vertical="center" wrapText="1"/>
      <protection locked="0"/>
    </xf>
    <xf numFmtId="0" fontId="26" fillId="0" borderId="1" xfId="0" quotePrefix="1" applyFont="1" applyBorder="1" applyAlignment="1" applyProtection="1">
      <alignment horizontal="center" vertical="center" wrapText="1"/>
      <protection locked="0"/>
    </xf>
    <xf numFmtId="0" fontId="32" fillId="7" borderId="1" xfId="0" applyFont="1" applyFill="1" applyBorder="1" applyAlignment="1">
      <alignment horizontal="center" vertical="center" wrapText="1"/>
    </xf>
    <xf numFmtId="0" fontId="32" fillId="0" borderId="1" xfId="0" applyFont="1" applyFill="1" applyBorder="1" applyAlignment="1">
      <alignment horizontal="center" vertical="center" wrapText="1"/>
    </xf>
    <xf numFmtId="166" fontId="39" fillId="0" borderId="1" xfId="1" applyNumberFormat="1" applyFont="1" applyFill="1" applyBorder="1" applyAlignment="1" applyProtection="1">
      <alignment horizontal="center" vertical="center" wrapText="1"/>
      <protection locked="0"/>
    </xf>
    <xf numFmtId="0" fontId="15" fillId="3" borderId="4" xfId="0" applyFont="1" applyFill="1" applyBorder="1" applyAlignment="1" applyProtection="1">
      <alignment horizontal="left" vertical="center" wrapText="1"/>
      <protection locked="0"/>
    </xf>
    <xf numFmtId="0" fontId="15" fillId="3" borderId="5" xfId="0" applyFont="1" applyFill="1" applyBorder="1" applyAlignment="1" applyProtection="1">
      <alignment horizontal="left" vertical="center" wrapText="1"/>
      <protection locked="0"/>
    </xf>
    <xf numFmtId="0" fontId="15" fillId="3" borderId="6" xfId="0" applyFont="1" applyFill="1" applyBorder="1" applyAlignment="1" applyProtection="1">
      <alignment horizontal="left" vertical="center" wrapText="1"/>
      <protection locked="0"/>
    </xf>
    <xf numFmtId="0" fontId="15" fillId="3" borderId="5" xfId="0" applyFont="1" applyFill="1" applyBorder="1" applyAlignment="1" applyProtection="1">
      <alignment horizontal="center" vertical="center" wrapText="1"/>
      <protection locked="0"/>
    </xf>
    <xf numFmtId="0" fontId="15" fillId="3" borderId="6" xfId="0" applyFont="1" applyFill="1" applyBorder="1" applyAlignment="1" applyProtection="1">
      <alignment horizontal="center" vertical="center" wrapText="1"/>
      <protection locked="0"/>
    </xf>
    <xf numFmtId="0" fontId="15" fillId="3" borderId="11" xfId="0" applyFont="1" applyFill="1" applyBorder="1" applyAlignment="1" applyProtection="1">
      <alignment horizontal="center" vertical="center" wrapText="1"/>
      <protection locked="0"/>
    </xf>
    <xf numFmtId="0" fontId="15" fillId="3" borderId="12" xfId="0" applyFont="1" applyFill="1" applyBorder="1" applyAlignment="1" applyProtection="1">
      <alignment horizontal="center" vertical="center" wrapText="1"/>
      <protection locked="0"/>
    </xf>
    <xf numFmtId="0" fontId="13" fillId="0" borderId="5" xfId="0" applyFont="1" applyFill="1" applyBorder="1" applyAlignment="1" applyProtection="1">
      <alignment horizontal="center" vertical="center" wrapText="1"/>
    </xf>
    <xf numFmtId="0" fontId="13" fillId="0" borderId="6" xfId="0" applyFont="1" applyFill="1" applyBorder="1" applyAlignment="1" applyProtection="1">
      <alignment horizontal="center" vertical="center" wrapText="1"/>
    </xf>
    <xf numFmtId="166" fontId="29" fillId="0" borderId="1" xfId="1" applyNumberFormat="1" applyFont="1" applyFill="1" applyBorder="1" applyAlignment="1" applyProtection="1">
      <alignment horizontal="center" vertical="center" wrapText="1"/>
      <protection locked="0"/>
    </xf>
    <xf numFmtId="0" fontId="13" fillId="0" borderId="1" xfId="0" applyFont="1" applyFill="1" applyBorder="1" applyAlignment="1">
      <alignment horizontal="left" vertical="center" wrapText="1"/>
    </xf>
    <xf numFmtId="166" fontId="28" fillId="0" borderId="11" xfId="1" applyNumberFormat="1" applyFont="1" applyFill="1" applyBorder="1" applyAlignment="1" applyProtection="1">
      <alignment horizontal="center" vertical="center" wrapText="1"/>
      <protection locked="0"/>
    </xf>
    <xf numFmtId="166" fontId="28" fillId="0" borderId="12" xfId="1" applyNumberFormat="1" applyFont="1" applyFill="1" applyBorder="1" applyAlignment="1" applyProtection="1">
      <alignment horizontal="center" vertical="center" wrapText="1"/>
      <protection locked="0"/>
    </xf>
    <xf numFmtId="166" fontId="28" fillId="0" borderId="1" xfId="1" applyNumberFormat="1" applyFont="1" applyFill="1" applyBorder="1" applyAlignment="1" applyProtection="1">
      <alignment horizontal="center" vertical="center" wrapText="1"/>
      <protection locked="0"/>
    </xf>
    <xf numFmtId="0" fontId="26" fillId="3" borderId="15" xfId="0" applyFont="1" applyFill="1" applyBorder="1" applyAlignment="1">
      <alignment horizontal="center" vertical="center" wrapText="1"/>
    </xf>
    <xf numFmtId="0" fontId="26" fillId="3" borderId="13" xfId="0" applyFont="1" applyFill="1" applyBorder="1" applyAlignment="1">
      <alignment horizontal="center" vertical="center" wrapText="1"/>
    </xf>
    <xf numFmtId="0" fontId="29" fillId="0" borderId="1" xfId="0" applyFont="1" applyFill="1" applyBorder="1" applyAlignment="1">
      <alignment horizontal="center" vertical="center"/>
    </xf>
  </cellXfs>
  <cellStyles count="6">
    <cellStyle name="Millares" xfId="4" builtinId="3"/>
    <cellStyle name="Moneda" xfId="1" builtinId="4"/>
    <cellStyle name="Normal" xfId="0" builtinId="0"/>
    <cellStyle name="Normal 2 2" xfId="2"/>
    <cellStyle name="Normal 3" xfId="3"/>
    <cellStyle name="Porcentaje" xfId="5" builtinId="5"/>
  </cellStyles>
  <dxfs count="0"/>
  <tableStyles count="0" defaultTableStyle="TableStyleMedium2" defaultPivotStyle="PivotStyleLight16"/>
  <colors>
    <mruColors>
      <color rgb="FFFFFF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142875</xdr:colOff>
      <xdr:row>1</xdr:row>
      <xdr:rowOff>57150</xdr:rowOff>
    </xdr:from>
    <xdr:to>
      <xdr:col>2</xdr:col>
      <xdr:colOff>1254125</xdr:colOff>
      <xdr:row>3</xdr:row>
      <xdr:rowOff>429953</xdr:rowOff>
    </xdr:to>
    <xdr:pic>
      <xdr:nvPicPr>
        <xdr:cNvPr id="6165"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875" y="215900"/>
          <a:ext cx="1111250" cy="10713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1592655</xdr:colOff>
      <xdr:row>1</xdr:row>
      <xdr:rowOff>102380</xdr:rowOff>
    </xdr:from>
    <xdr:to>
      <xdr:col>4</xdr:col>
      <xdr:colOff>1061357</xdr:colOff>
      <xdr:row>3</xdr:row>
      <xdr:rowOff>510903</xdr:rowOff>
    </xdr:to>
    <xdr:pic>
      <xdr:nvPicPr>
        <xdr:cNvPr id="8208"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7476" y="292880"/>
          <a:ext cx="1169595" cy="11160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trujillo\Downloads\PLE-FT-15%20Plan%20de%20Accion%20V3%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FORMATO"/>
      <sheetName val="listas"/>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17"/>
  <sheetViews>
    <sheetView showGridLines="0" view="pageBreakPreview" zoomScale="40" zoomScaleNormal="60" zoomScaleSheetLayoutView="40" workbookViewId="0">
      <selection activeCell="J11" sqref="J11:O11"/>
    </sheetView>
  </sheetViews>
  <sheetFormatPr baseColWidth="10" defaultRowHeight="12.75" x14ac:dyDescent="0.2"/>
  <cols>
    <col min="1" max="1" width="1.85546875" style="1" customWidth="1"/>
    <col min="2" max="2" width="9.42578125" style="1" customWidth="1"/>
    <col min="3" max="3" width="34.140625" style="1" customWidth="1"/>
    <col min="4" max="4" width="35.28515625" style="1" customWidth="1"/>
    <col min="5" max="5" width="16.7109375" style="1" customWidth="1"/>
    <col min="6" max="9" width="24.42578125" style="1" customWidth="1"/>
    <col min="10" max="10" width="14.85546875" style="1" customWidth="1"/>
    <col min="11" max="11" width="17.5703125" style="1" customWidth="1"/>
    <col min="12" max="12" width="12" style="9" customWidth="1"/>
    <col min="13" max="13" width="16.28515625" style="9" customWidth="1"/>
    <col min="14" max="14" width="21.5703125" style="9" customWidth="1"/>
    <col min="15" max="15" width="21" style="1" customWidth="1"/>
    <col min="16" max="16" width="2.28515625" style="1" customWidth="1"/>
    <col min="17" max="16384" width="11.42578125" style="1"/>
  </cols>
  <sheetData>
    <row r="2" spans="1:16" ht="27.75" customHeight="1" x14ac:dyDescent="0.2">
      <c r="B2" s="311"/>
      <c r="C2" s="311"/>
      <c r="D2" s="312" t="s">
        <v>49</v>
      </c>
      <c r="E2" s="313"/>
      <c r="F2" s="313"/>
      <c r="G2" s="313"/>
      <c r="H2" s="313"/>
      <c r="I2" s="313"/>
      <c r="J2" s="313"/>
      <c r="K2" s="313"/>
      <c r="L2" s="313"/>
      <c r="M2" s="314"/>
      <c r="N2" s="2" t="s">
        <v>1</v>
      </c>
      <c r="O2" s="2" t="s">
        <v>2</v>
      </c>
    </row>
    <row r="3" spans="1:16" ht="27.75" customHeight="1" x14ac:dyDescent="0.2">
      <c r="B3" s="311"/>
      <c r="C3" s="311"/>
      <c r="D3" s="315"/>
      <c r="E3" s="316"/>
      <c r="F3" s="316"/>
      <c r="G3" s="316"/>
      <c r="H3" s="316"/>
      <c r="I3" s="316"/>
      <c r="J3" s="316"/>
      <c r="K3" s="316"/>
      <c r="L3" s="316"/>
      <c r="M3" s="317"/>
      <c r="N3" s="2" t="s">
        <v>3</v>
      </c>
      <c r="O3" s="2">
        <v>3</v>
      </c>
    </row>
    <row r="4" spans="1:16" ht="37.5" customHeight="1" x14ac:dyDescent="0.2">
      <c r="B4" s="311"/>
      <c r="C4" s="311"/>
      <c r="D4" s="318" t="s">
        <v>4</v>
      </c>
      <c r="E4" s="319"/>
      <c r="F4" s="319"/>
      <c r="G4" s="319"/>
      <c r="H4" s="319"/>
      <c r="I4" s="319"/>
      <c r="J4" s="319"/>
      <c r="K4" s="319"/>
      <c r="L4" s="319"/>
      <c r="M4" s="320"/>
      <c r="N4" s="31" t="s">
        <v>5</v>
      </c>
      <c r="O4" s="3">
        <v>42536</v>
      </c>
    </row>
    <row r="5" spans="1:16" ht="16.5" customHeight="1" x14ac:dyDescent="0.2">
      <c r="A5" s="4"/>
      <c r="B5" s="5"/>
      <c r="C5" s="5"/>
      <c r="D5" s="6"/>
      <c r="E5" s="6"/>
      <c r="F5" s="6"/>
      <c r="G5" s="6"/>
      <c r="H5" s="6"/>
      <c r="I5" s="6"/>
      <c r="J5" s="6"/>
      <c r="K5" s="6"/>
      <c r="L5" s="7"/>
      <c r="M5" s="7"/>
      <c r="N5" s="7"/>
      <c r="O5" s="7"/>
      <c r="P5" s="4"/>
    </row>
    <row r="6" spans="1:16" ht="26.25" x14ac:dyDescent="0.2">
      <c r="B6" s="321" t="s">
        <v>6</v>
      </c>
      <c r="C6" s="321"/>
      <c r="D6" s="321"/>
      <c r="E6" s="321"/>
      <c r="F6" s="321"/>
      <c r="G6" s="321"/>
      <c r="H6" s="321"/>
      <c r="I6" s="321"/>
      <c r="J6" s="321"/>
      <c r="K6" s="321"/>
      <c r="L6" s="321"/>
      <c r="M6" s="321"/>
      <c r="N6" s="321"/>
      <c r="O6" s="321"/>
    </row>
    <row r="7" spans="1:16" ht="30.75" customHeight="1" x14ac:dyDescent="0.2">
      <c r="B7" s="306" t="s">
        <v>7</v>
      </c>
      <c r="C7" s="306"/>
      <c r="D7" s="298" t="s">
        <v>97</v>
      </c>
      <c r="E7" s="299"/>
      <c r="F7" s="299"/>
      <c r="G7" s="300"/>
      <c r="H7" s="301" t="s">
        <v>17</v>
      </c>
      <c r="I7" s="302"/>
      <c r="J7" s="298" t="s">
        <v>92</v>
      </c>
      <c r="K7" s="299"/>
      <c r="L7" s="299"/>
      <c r="M7" s="299"/>
      <c r="N7" s="299"/>
      <c r="O7" s="300"/>
    </row>
    <row r="8" spans="1:16" ht="39" customHeight="1" x14ac:dyDescent="0.2">
      <c r="B8" s="301" t="s">
        <v>8</v>
      </c>
      <c r="C8" s="307"/>
      <c r="D8" s="298" t="s">
        <v>98</v>
      </c>
      <c r="E8" s="299"/>
      <c r="F8" s="299"/>
      <c r="G8" s="300"/>
      <c r="H8" s="301" t="s">
        <v>18</v>
      </c>
      <c r="I8" s="307"/>
      <c r="J8" s="308" t="s">
        <v>91</v>
      </c>
      <c r="K8" s="309"/>
      <c r="L8" s="309"/>
      <c r="M8" s="309"/>
      <c r="N8" s="309"/>
      <c r="O8" s="310"/>
    </row>
    <row r="9" spans="1:16" ht="71.25" customHeight="1" x14ac:dyDescent="0.2">
      <c r="B9" s="306" t="s">
        <v>9</v>
      </c>
      <c r="C9" s="306"/>
      <c r="D9" s="298" t="s">
        <v>99</v>
      </c>
      <c r="E9" s="299"/>
      <c r="F9" s="299"/>
      <c r="G9" s="300"/>
      <c r="H9" s="301" t="s">
        <v>93</v>
      </c>
      <c r="I9" s="307"/>
      <c r="J9" s="298" t="s">
        <v>94</v>
      </c>
      <c r="K9" s="299"/>
      <c r="L9" s="299"/>
      <c r="M9" s="299"/>
      <c r="N9" s="299"/>
      <c r="O9" s="300"/>
    </row>
    <row r="10" spans="1:16" ht="67.5" customHeight="1" x14ac:dyDescent="0.2">
      <c r="B10" s="301" t="s">
        <v>10</v>
      </c>
      <c r="C10" s="307"/>
      <c r="D10" s="298" t="s">
        <v>100</v>
      </c>
      <c r="E10" s="299"/>
      <c r="F10" s="299"/>
      <c r="G10" s="300"/>
      <c r="H10" s="301" t="s">
        <v>88</v>
      </c>
      <c r="I10" s="302"/>
      <c r="J10" s="298" t="s">
        <v>90</v>
      </c>
      <c r="K10" s="299"/>
      <c r="L10" s="299"/>
      <c r="M10" s="299"/>
      <c r="N10" s="299"/>
      <c r="O10" s="300"/>
    </row>
    <row r="11" spans="1:16" ht="60.75" customHeight="1" x14ac:dyDescent="0.2">
      <c r="B11" s="306" t="s">
        <v>11</v>
      </c>
      <c r="C11" s="306"/>
      <c r="D11" s="298" t="s">
        <v>101</v>
      </c>
      <c r="E11" s="299"/>
      <c r="F11" s="299"/>
      <c r="G11" s="300"/>
      <c r="H11" s="301" t="s">
        <v>86</v>
      </c>
      <c r="I11" s="302"/>
      <c r="J11" s="298" t="s">
        <v>87</v>
      </c>
      <c r="K11" s="299"/>
      <c r="L11" s="299"/>
      <c r="M11" s="299"/>
      <c r="N11" s="299"/>
      <c r="O11" s="300"/>
    </row>
    <row r="12" spans="1:16" ht="69" customHeight="1" x14ac:dyDescent="0.2">
      <c r="B12" s="301" t="s">
        <v>12</v>
      </c>
      <c r="C12" s="307"/>
      <c r="D12" s="298" t="s">
        <v>102</v>
      </c>
      <c r="E12" s="299"/>
      <c r="F12" s="299"/>
      <c r="G12" s="300"/>
      <c r="H12" s="301" t="s">
        <v>22</v>
      </c>
      <c r="I12" s="302"/>
      <c r="J12" s="298" t="s">
        <v>129</v>
      </c>
      <c r="K12" s="299"/>
      <c r="L12" s="299"/>
      <c r="M12" s="299"/>
      <c r="N12" s="299"/>
      <c r="O12" s="300"/>
    </row>
    <row r="13" spans="1:16" ht="63" customHeight="1" x14ac:dyDescent="0.2">
      <c r="A13" s="4"/>
      <c r="B13" s="301" t="s">
        <v>13</v>
      </c>
      <c r="C13" s="307"/>
      <c r="D13" s="298" t="s">
        <v>103</v>
      </c>
      <c r="E13" s="299"/>
      <c r="F13" s="299"/>
      <c r="G13" s="300"/>
      <c r="H13" s="301" t="s">
        <v>23</v>
      </c>
      <c r="I13" s="302"/>
      <c r="J13" s="298" t="s">
        <v>89</v>
      </c>
      <c r="K13" s="299"/>
      <c r="L13" s="299"/>
      <c r="M13" s="299"/>
      <c r="N13" s="299"/>
      <c r="O13" s="300"/>
      <c r="P13" s="4"/>
    </row>
    <row r="14" spans="1:16" ht="43.5" customHeight="1" x14ac:dyDescent="0.2">
      <c r="A14" s="8"/>
      <c r="B14" s="301" t="s">
        <v>14</v>
      </c>
      <c r="C14" s="307"/>
      <c r="D14" s="308" t="s">
        <v>143</v>
      </c>
      <c r="E14" s="309"/>
      <c r="F14" s="309"/>
      <c r="G14" s="310"/>
      <c r="H14" s="301" t="s">
        <v>95</v>
      </c>
      <c r="I14" s="302"/>
      <c r="J14" s="298" t="s">
        <v>112</v>
      </c>
      <c r="K14" s="299"/>
      <c r="L14" s="299"/>
      <c r="M14" s="299"/>
      <c r="N14" s="299"/>
      <c r="O14" s="300"/>
      <c r="P14" s="8"/>
    </row>
    <row r="15" spans="1:16" ht="43.5" customHeight="1" x14ac:dyDescent="0.2">
      <c r="B15" s="301" t="s">
        <v>15</v>
      </c>
      <c r="C15" s="307"/>
      <c r="D15" s="303" t="s">
        <v>104</v>
      </c>
      <c r="E15" s="304"/>
      <c r="F15" s="304"/>
      <c r="G15" s="305"/>
      <c r="H15" s="301" t="s">
        <v>83</v>
      </c>
      <c r="I15" s="302"/>
      <c r="J15" s="298" t="s">
        <v>125</v>
      </c>
      <c r="K15" s="299"/>
      <c r="L15" s="299"/>
      <c r="M15" s="299"/>
      <c r="N15" s="299"/>
      <c r="O15" s="300"/>
    </row>
    <row r="16" spans="1:16" ht="43.5" customHeight="1" x14ac:dyDescent="0.2">
      <c r="B16" s="301" t="s">
        <v>16</v>
      </c>
      <c r="C16" s="307"/>
      <c r="D16" s="303" t="s">
        <v>105</v>
      </c>
      <c r="E16" s="304"/>
      <c r="F16" s="304"/>
      <c r="G16" s="305"/>
      <c r="H16" s="301" t="s">
        <v>84</v>
      </c>
      <c r="I16" s="302"/>
      <c r="J16" s="298" t="s">
        <v>113</v>
      </c>
      <c r="K16" s="299"/>
      <c r="L16" s="299"/>
      <c r="M16" s="299"/>
      <c r="N16" s="299"/>
      <c r="O16" s="300"/>
    </row>
    <row r="17" spans="8:15" ht="32.25" customHeight="1" x14ac:dyDescent="0.2">
      <c r="H17" s="301" t="s">
        <v>85</v>
      </c>
      <c r="I17" s="302"/>
      <c r="J17" s="298" t="s">
        <v>96</v>
      </c>
      <c r="K17" s="299"/>
      <c r="L17" s="299"/>
      <c r="M17" s="299"/>
      <c r="N17" s="299"/>
      <c r="O17" s="300"/>
    </row>
  </sheetData>
  <sheetProtection formatCells="0" formatRows="0" insertRows="0" deleteRows="0"/>
  <mergeCells count="46">
    <mergeCell ref="H17:I17"/>
    <mergeCell ref="J17:O17"/>
    <mergeCell ref="B12:C12"/>
    <mergeCell ref="B14:C14"/>
    <mergeCell ref="B15:C15"/>
    <mergeCell ref="D13:G13"/>
    <mergeCell ref="H13:I13"/>
    <mergeCell ref="D14:G14"/>
    <mergeCell ref="D12:G12"/>
    <mergeCell ref="H12:I12"/>
    <mergeCell ref="J12:O12"/>
    <mergeCell ref="B13:C13"/>
    <mergeCell ref="B16:C16"/>
    <mergeCell ref="D16:G16"/>
    <mergeCell ref="H16:I16"/>
    <mergeCell ref="J14:O14"/>
    <mergeCell ref="B2:C4"/>
    <mergeCell ref="D2:M3"/>
    <mergeCell ref="D4:M4"/>
    <mergeCell ref="B6:O6"/>
    <mergeCell ref="B7:C7"/>
    <mergeCell ref="D7:G7"/>
    <mergeCell ref="H7:I7"/>
    <mergeCell ref="J7:O7"/>
    <mergeCell ref="B8:C8"/>
    <mergeCell ref="B9:C9"/>
    <mergeCell ref="B10:C10"/>
    <mergeCell ref="H9:I9"/>
    <mergeCell ref="J9:O9"/>
    <mergeCell ref="D8:G8"/>
    <mergeCell ref="H8:I8"/>
    <mergeCell ref="J8:O8"/>
    <mergeCell ref="D9:G9"/>
    <mergeCell ref="B11:C11"/>
    <mergeCell ref="J13:O13"/>
    <mergeCell ref="D10:G10"/>
    <mergeCell ref="D11:G11"/>
    <mergeCell ref="H11:I11"/>
    <mergeCell ref="J11:O11"/>
    <mergeCell ref="H10:I10"/>
    <mergeCell ref="J10:O10"/>
    <mergeCell ref="J15:O15"/>
    <mergeCell ref="J16:O16"/>
    <mergeCell ref="H14:I14"/>
    <mergeCell ref="D15:G15"/>
    <mergeCell ref="H15:I15"/>
  </mergeCells>
  <printOptions horizontalCentered="1" verticalCentered="1"/>
  <pageMargins left="0.47244094488188981" right="0.39370078740157483" top="0.27559055118110237" bottom="0.39370078740157483" header="0" footer="0"/>
  <pageSetup paperSize="14" scale="52" orientation="landscape" horizontalDpi="4294967294" verticalDpi="4294967294"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3"/>
  <sheetViews>
    <sheetView showGridLines="0" zoomScale="70" zoomScaleNormal="70" zoomScaleSheetLayoutView="90" workbookViewId="0">
      <selection activeCell="F6" sqref="F6:H6"/>
    </sheetView>
  </sheetViews>
  <sheetFormatPr baseColWidth="10" defaultRowHeight="15" x14ac:dyDescent="0.2"/>
  <cols>
    <col min="1" max="1" width="1.85546875" style="1" customWidth="1"/>
    <col min="2" max="5" width="14.42578125" style="42" customWidth="1"/>
    <col min="6" max="6" width="21.42578125" style="42" customWidth="1"/>
    <col min="7" max="7" width="19.5703125" style="42" customWidth="1"/>
    <col min="8" max="8" width="24.85546875" style="42" customWidth="1"/>
    <col min="9" max="9" width="18.28515625" style="48" customWidth="1"/>
    <col min="10" max="10" width="17.28515625" style="48" customWidth="1"/>
    <col min="11" max="11" width="18.42578125" style="9" hidden="1" customWidth="1"/>
    <col min="12" max="12" width="20.140625" style="9" hidden="1" customWidth="1"/>
    <col min="13" max="13" width="24.42578125" style="36" customWidth="1"/>
    <col min="14" max="14" width="23.85546875" style="36" customWidth="1"/>
    <col min="15" max="15" width="12.85546875" style="9" customWidth="1"/>
    <col min="16" max="16" width="12.85546875" style="42" customWidth="1"/>
    <col min="17" max="16384" width="11.42578125" style="1"/>
  </cols>
  <sheetData>
    <row r="1" spans="1:16" s="8" customFormat="1" ht="12" customHeight="1" x14ac:dyDescent="0.2">
      <c r="A1" s="4"/>
      <c r="B1" s="5"/>
      <c r="C1" s="5"/>
      <c r="D1" s="6"/>
      <c r="E1" s="6"/>
      <c r="F1" s="5"/>
      <c r="G1" s="5"/>
      <c r="H1" s="6"/>
      <c r="I1" s="49"/>
      <c r="J1" s="49"/>
      <c r="K1" s="6"/>
      <c r="L1" s="7"/>
      <c r="M1" s="37"/>
      <c r="N1" s="37"/>
      <c r="O1" s="7"/>
      <c r="P1" s="7"/>
    </row>
    <row r="2" spans="1:16" s="8" customFormat="1" ht="26.25" customHeight="1" x14ac:dyDescent="0.2">
      <c r="A2" s="1"/>
      <c r="B2" s="322"/>
      <c r="C2" s="322"/>
      <c r="D2" s="322"/>
      <c r="E2" s="322"/>
      <c r="F2" s="322"/>
      <c r="G2" s="322"/>
      <c r="H2" s="322"/>
      <c r="I2" s="322"/>
      <c r="J2" s="322"/>
      <c r="K2" s="322"/>
      <c r="L2" s="322"/>
      <c r="M2" s="322"/>
      <c r="N2" s="322"/>
      <c r="O2" s="322"/>
      <c r="P2" s="323"/>
    </row>
    <row r="3" spans="1:16" s="8" customFormat="1" ht="26.25" hidden="1" customHeight="1" x14ac:dyDescent="0.2">
      <c r="B3" s="322"/>
      <c r="C3" s="322"/>
      <c r="D3" s="322"/>
      <c r="E3" s="322"/>
      <c r="F3" s="322"/>
      <c r="G3" s="322"/>
      <c r="H3" s="322"/>
      <c r="I3" s="322"/>
      <c r="J3" s="322"/>
      <c r="K3" s="322"/>
      <c r="L3" s="322"/>
      <c r="M3" s="322"/>
      <c r="N3" s="322"/>
      <c r="O3" s="322"/>
      <c r="P3" s="322"/>
    </row>
    <row r="4" spans="1:16" s="8" customFormat="1" ht="15.75" customHeight="1" x14ac:dyDescent="0.2">
      <c r="B4" s="324" t="s">
        <v>179</v>
      </c>
      <c r="C4" s="325"/>
      <c r="D4" s="326"/>
      <c r="E4" s="330" t="s">
        <v>21</v>
      </c>
      <c r="F4" s="324" t="s">
        <v>193</v>
      </c>
      <c r="G4" s="325"/>
      <c r="H4" s="326"/>
      <c r="I4" s="331" t="s">
        <v>194</v>
      </c>
      <c r="J4" s="331"/>
      <c r="K4" s="330" t="s">
        <v>24</v>
      </c>
      <c r="L4" s="330" t="s">
        <v>25</v>
      </c>
      <c r="M4" s="335" t="s">
        <v>26</v>
      </c>
      <c r="N4" s="336"/>
      <c r="O4" s="337" t="s">
        <v>27</v>
      </c>
      <c r="P4" s="338"/>
    </row>
    <row r="5" spans="1:16" s="8" customFormat="1" ht="45.75" customHeight="1" x14ac:dyDescent="0.2">
      <c r="B5" s="327"/>
      <c r="C5" s="328"/>
      <c r="D5" s="329"/>
      <c r="E5" s="330"/>
      <c r="F5" s="327"/>
      <c r="G5" s="328"/>
      <c r="H5" s="329"/>
      <c r="I5" s="84" t="s">
        <v>28</v>
      </c>
      <c r="J5" s="84" t="s">
        <v>29</v>
      </c>
      <c r="K5" s="330"/>
      <c r="L5" s="330"/>
      <c r="M5" s="34" t="s">
        <v>30</v>
      </c>
      <c r="N5" s="34" t="s">
        <v>31</v>
      </c>
      <c r="O5" s="339"/>
      <c r="P5" s="340"/>
    </row>
    <row r="6" spans="1:16" s="8" customFormat="1" ht="233.25" customHeight="1" x14ac:dyDescent="0.2">
      <c r="A6" s="1"/>
      <c r="B6" s="332"/>
      <c r="C6" s="332"/>
      <c r="D6" s="332"/>
      <c r="E6" s="78">
        <v>8.0000000000000002E-3</v>
      </c>
      <c r="F6" s="333" t="s">
        <v>171</v>
      </c>
      <c r="G6" s="333"/>
      <c r="H6" s="333"/>
      <c r="I6" s="86">
        <v>42767</v>
      </c>
      <c r="J6" s="86">
        <v>43100</v>
      </c>
      <c r="K6" s="85"/>
      <c r="L6" s="78"/>
      <c r="M6" s="81">
        <f>68266000+65912000</f>
        <v>134178000</v>
      </c>
      <c r="N6" s="44"/>
      <c r="O6" s="334" t="s">
        <v>285</v>
      </c>
      <c r="P6" s="333"/>
    </row>
    <row r="7" spans="1:16" s="8" customFormat="1" ht="87.75" customHeight="1" x14ac:dyDescent="0.2">
      <c r="A7" s="1"/>
      <c r="B7" s="346" t="s">
        <v>182</v>
      </c>
      <c r="C7" s="346"/>
      <c r="D7" s="346"/>
      <c r="E7" s="78">
        <v>8.0000000000000002E-3</v>
      </c>
      <c r="F7" s="334" t="s">
        <v>153</v>
      </c>
      <c r="G7" s="334"/>
      <c r="H7" s="334"/>
      <c r="I7" s="86">
        <v>42826</v>
      </c>
      <c r="J7" s="86">
        <v>43100</v>
      </c>
      <c r="K7" s="85" t="s">
        <v>289</v>
      </c>
      <c r="L7" s="78" t="s">
        <v>282</v>
      </c>
      <c r="M7" s="82"/>
      <c r="N7" s="89"/>
      <c r="O7" s="334"/>
      <c r="P7" s="334"/>
    </row>
    <row r="8" spans="1:16" s="8" customFormat="1" ht="19.5" customHeight="1" x14ac:dyDescent="0.2">
      <c r="A8" s="1"/>
      <c r="B8" s="341"/>
      <c r="C8" s="341"/>
      <c r="D8" s="341"/>
      <c r="E8" s="59">
        <f>SUM(E6:E7)</f>
        <v>1.6E-2</v>
      </c>
      <c r="F8" s="342"/>
      <c r="G8" s="343"/>
      <c r="H8" s="343"/>
      <c r="I8" s="343"/>
      <c r="J8" s="343"/>
      <c r="K8" s="343"/>
      <c r="L8" s="344"/>
      <c r="M8" s="38">
        <f>SUM(M6:M7)</f>
        <v>134178000</v>
      </c>
      <c r="N8" s="38">
        <f>SUM(N6:N7)</f>
        <v>0</v>
      </c>
      <c r="O8" s="345"/>
      <c r="P8" s="345"/>
    </row>
    <row r="9" spans="1:16" s="8" customFormat="1" ht="15" customHeight="1" x14ac:dyDescent="0.2">
      <c r="A9" s="4"/>
      <c r="B9" s="5"/>
      <c r="C9" s="5"/>
      <c r="D9" s="6"/>
      <c r="E9" s="6"/>
      <c r="F9" s="5"/>
      <c r="G9" s="5"/>
      <c r="H9" s="6"/>
      <c r="I9" s="49"/>
      <c r="J9" s="49"/>
      <c r="K9" s="6"/>
      <c r="L9" s="7"/>
      <c r="M9" s="37"/>
      <c r="N9" s="37"/>
      <c r="O9" s="7"/>
      <c r="P9" s="7"/>
    </row>
    <row r="10" spans="1:16" s="8" customFormat="1" ht="42.75" customHeight="1" x14ac:dyDescent="0.2">
      <c r="B10" s="349"/>
      <c r="C10" s="349"/>
      <c r="D10" s="349"/>
      <c r="E10" s="349"/>
      <c r="F10" s="349"/>
      <c r="G10" s="349"/>
      <c r="H10" s="349"/>
      <c r="I10" s="349"/>
      <c r="J10" s="349"/>
      <c r="K10" s="349"/>
      <c r="L10" s="349"/>
      <c r="M10" s="349"/>
      <c r="N10" s="349"/>
      <c r="O10" s="349"/>
      <c r="P10" s="349"/>
    </row>
    <row r="11" spans="1:16" s="8" customFormat="1" ht="68.25" customHeight="1" x14ac:dyDescent="0.2">
      <c r="A11" s="1"/>
      <c r="B11" s="351" t="s">
        <v>181</v>
      </c>
      <c r="C11" s="352"/>
      <c r="D11" s="353"/>
      <c r="E11" s="55">
        <v>6.0000000000000001E-3</v>
      </c>
      <c r="F11" s="348" t="s">
        <v>227</v>
      </c>
      <c r="G11" s="348"/>
      <c r="H11" s="348"/>
      <c r="I11" s="54">
        <v>42705</v>
      </c>
      <c r="J11" s="51">
        <v>42885</v>
      </c>
      <c r="K11" s="87"/>
      <c r="L11" s="88"/>
      <c r="M11" s="82"/>
      <c r="N11" s="82"/>
      <c r="O11" s="350"/>
      <c r="P11" s="350"/>
    </row>
    <row r="12" spans="1:16" s="8" customFormat="1" ht="99.75" customHeight="1" x14ac:dyDescent="0.2">
      <c r="B12" s="347" t="s">
        <v>294</v>
      </c>
      <c r="C12" s="347"/>
      <c r="D12" s="347"/>
      <c r="E12" s="83">
        <v>8.0000000000000002E-3</v>
      </c>
      <c r="F12" s="348" t="s">
        <v>183</v>
      </c>
      <c r="G12" s="348"/>
      <c r="H12" s="348"/>
      <c r="I12" s="50">
        <v>42840</v>
      </c>
      <c r="J12" s="50">
        <v>43100</v>
      </c>
      <c r="K12" s="80" t="s">
        <v>295</v>
      </c>
      <c r="L12" s="79" t="s">
        <v>296</v>
      </c>
      <c r="M12" s="35"/>
      <c r="N12" s="81"/>
      <c r="O12" s="348" t="s">
        <v>297</v>
      </c>
      <c r="P12" s="348"/>
    </row>
    <row r="13" spans="1:16" s="8" customFormat="1" ht="66.75" customHeight="1" x14ac:dyDescent="0.2">
      <c r="B13" s="348" t="s">
        <v>298</v>
      </c>
      <c r="C13" s="348"/>
      <c r="D13" s="348"/>
      <c r="E13" s="83">
        <v>8.0000000000000002E-3</v>
      </c>
      <c r="F13" s="348" t="s">
        <v>156</v>
      </c>
      <c r="G13" s="348"/>
      <c r="H13" s="348"/>
      <c r="I13" s="50">
        <v>42856</v>
      </c>
      <c r="J13" s="50">
        <v>43100</v>
      </c>
      <c r="K13" s="354" t="s">
        <v>299</v>
      </c>
      <c r="L13" s="355" t="s">
        <v>300</v>
      </c>
      <c r="M13" s="356">
        <f>6420000*11</f>
        <v>70620000</v>
      </c>
      <c r="N13" s="357"/>
      <c r="O13" s="348" t="s">
        <v>301</v>
      </c>
      <c r="P13" s="348"/>
    </row>
    <row r="14" spans="1:16" s="8" customFormat="1" ht="66.75" customHeight="1" x14ac:dyDescent="0.2">
      <c r="B14" s="348"/>
      <c r="C14" s="348"/>
      <c r="D14" s="348"/>
      <c r="E14" s="83">
        <v>8.0000000000000002E-3</v>
      </c>
      <c r="F14" s="348" t="s">
        <v>177</v>
      </c>
      <c r="G14" s="348"/>
      <c r="H14" s="348"/>
      <c r="I14" s="50">
        <v>42856</v>
      </c>
      <c r="J14" s="50">
        <v>43100</v>
      </c>
      <c r="K14" s="354"/>
      <c r="L14" s="355"/>
      <c r="M14" s="356"/>
      <c r="N14" s="358"/>
      <c r="O14" s="348"/>
      <c r="P14" s="348"/>
    </row>
    <row r="15" spans="1:16" s="8" customFormat="1" ht="72.75" customHeight="1" x14ac:dyDescent="0.2">
      <c r="A15" s="1"/>
      <c r="B15" s="361" t="s">
        <v>188</v>
      </c>
      <c r="C15" s="361"/>
      <c r="D15" s="361"/>
      <c r="E15" s="83">
        <v>0.01</v>
      </c>
      <c r="F15" s="348" t="s">
        <v>189</v>
      </c>
      <c r="G15" s="348"/>
      <c r="H15" s="348"/>
      <c r="I15" s="50">
        <v>42826</v>
      </c>
      <c r="J15" s="50">
        <v>43100</v>
      </c>
      <c r="K15" s="79"/>
      <c r="L15" s="79"/>
      <c r="M15" s="60"/>
      <c r="N15" s="82">
        <v>200000000</v>
      </c>
      <c r="O15" s="362" t="s">
        <v>267</v>
      </c>
      <c r="P15" s="362"/>
    </row>
    <row r="16" spans="1:16" s="8" customFormat="1" ht="19.5" customHeight="1" x14ac:dyDescent="0.2">
      <c r="A16" s="1"/>
      <c r="B16" s="363"/>
      <c r="C16" s="363"/>
      <c r="D16" s="363"/>
      <c r="E16" s="56">
        <f>SUM(E11:E15)</f>
        <v>0.04</v>
      </c>
      <c r="F16" s="343"/>
      <c r="G16" s="343"/>
      <c r="H16" s="343"/>
      <c r="I16" s="343"/>
      <c r="J16" s="57"/>
      <c r="K16" s="57"/>
      <c r="L16" s="58"/>
      <c r="M16" s="38">
        <f>SUM(M11:M15)</f>
        <v>70620000</v>
      </c>
      <c r="N16" s="38">
        <f>SUM(N11:N15)</f>
        <v>200000000</v>
      </c>
      <c r="O16" s="359"/>
      <c r="P16" s="360"/>
    </row>
    <row r="17" spans="1:16" s="8" customFormat="1" x14ac:dyDescent="0.2">
      <c r="A17" s="32"/>
      <c r="B17" s="42"/>
      <c r="C17" s="42"/>
      <c r="D17" s="42"/>
      <c r="E17" s="42"/>
      <c r="F17" s="42"/>
      <c r="G17" s="42"/>
      <c r="H17" s="42"/>
      <c r="I17" s="48"/>
      <c r="J17" s="48"/>
      <c r="K17" s="9"/>
      <c r="L17" s="9"/>
      <c r="M17" s="39"/>
      <c r="N17" s="40"/>
      <c r="O17" s="42"/>
      <c r="P17" s="42"/>
    </row>
    <row r="18" spans="1:16" s="8" customFormat="1" ht="26.25" customHeight="1" x14ac:dyDescent="0.2">
      <c r="A18" s="1"/>
      <c r="B18" s="349"/>
      <c r="C18" s="349"/>
      <c r="D18" s="349"/>
      <c r="E18" s="349"/>
      <c r="F18" s="349"/>
      <c r="G18" s="349"/>
      <c r="H18" s="349"/>
      <c r="I18" s="349"/>
      <c r="J18" s="349"/>
      <c r="K18" s="349"/>
      <c r="L18" s="349"/>
      <c r="M18" s="349"/>
      <c r="N18" s="349"/>
      <c r="O18" s="349"/>
      <c r="P18" s="349"/>
    </row>
    <row r="19" spans="1:16" s="8" customFormat="1" ht="105.75" customHeight="1" x14ac:dyDescent="0.2">
      <c r="B19" s="364" t="s">
        <v>242</v>
      </c>
      <c r="C19" s="365"/>
      <c r="D19" s="366"/>
      <c r="E19" s="46">
        <v>5.0000000000000001E-3</v>
      </c>
      <c r="F19" s="367" t="s">
        <v>198</v>
      </c>
      <c r="G19" s="368"/>
      <c r="H19" s="369"/>
      <c r="I19" s="86">
        <v>42826</v>
      </c>
      <c r="J19" s="86">
        <v>43099</v>
      </c>
      <c r="K19" s="77"/>
      <c r="L19" s="78"/>
      <c r="M19" s="53">
        <f>10*6000000*1.07</f>
        <v>64200000.000000007</v>
      </c>
      <c r="N19" s="81"/>
      <c r="O19" s="370" t="s">
        <v>210</v>
      </c>
      <c r="P19" s="370"/>
    </row>
    <row r="20" spans="1:16" s="8" customFormat="1" ht="92.25" customHeight="1" x14ac:dyDescent="0.2">
      <c r="B20" s="377" t="s">
        <v>241</v>
      </c>
      <c r="C20" s="378"/>
      <c r="D20" s="379"/>
      <c r="E20" s="45">
        <v>0.01</v>
      </c>
      <c r="F20" s="334" t="s">
        <v>238</v>
      </c>
      <c r="G20" s="334"/>
      <c r="H20" s="334"/>
      <c r="I20" s="86">
        <v>42917</v>
      </c>
      <c r="J20" s="86">
        <v>42946</v>
      </c>
      <c r="K20" s="383"/>
      <c r="L20" s="385"/>
      <c r="M20" s="81"/>
      <c r="N20" s="81">
        <v>590000000</v>
      </c>
      <c r="O20" s="375" t="s">
        <v>251</v>
      </c>
      <c r="P20" s="376"/>
    </row>
    <row r="21" spans="1:16" s="8" customFormat="1" ht="78.75" customHeight="1" x14ac:dyDescent="0.2">
      <c r="B21" s="380"/>
      <c r="C21" s="381"/>
      <c r="D21" s="382"/>
      <c r="E21" s="46">
        <v>5.0000000000000001E-3</v>
      </c>
      <c r="F21" s="367" t="s">
        <v>178</v>
      </c>
      <c r="G21" s="368"/>
      <c r="H21" s="369"/>
      <c r="I21" s="86">
        <v>42826</v>
      </c>
      <c r="J21" s="86">
        <v>43099</v>
      </c>
      <c r="K21" s="384"/>
      <c r="L21" s="386"/>
      <c r="M21" s="81"/>
      <c r="N21" s="81">
        <f>7000000+25000000</f>
        <v>32000000</v>
      </c>
      <c r="O21" s="370" t="s">
        <v>252</v>
      </c>
      <c r="P21" s="370"/>
    </row>
    <row r="22" spans="1:16" s="8" customFormat="1" ht="16.5" customHeight="1" x14ac:dyDescent="0.2">
      <c r="B22" s="371"/>
      <c r="C22" s="371"/>
      <c r="D22" s="371"/>
      <c r="E22" s="47">
        <f>SUM(E19:E21)</f>
        <v>0.02</v>
      </c>
      <c r="F22" s="372" t="s">
        <v>32</v>
      </c>
      <c r="G22" s="373"/>
      <c r="H22" s="374"/>
      <c r="I22" s="86"/>
      <c r="J22" s="52"/>
      <c r="K22" s="41"/>
      <c r="L22" s="78"/>
      <c r="M22" s="38">
        <f>SUM(M19:M21)</f>
        <v>64200000.000000007</v>
      </c>
      <c r="N22" s="38">
        <f>SUM(N19:N21)</f>
        <v>622000000</v>
      </c>
      <c r="O22" s="370"/>
      <c r="P22" s="370"/>
    </row>
    <row r="23" spans="1:16" s="8" customFormat="1" ht="18" x14ac:dyDescent="0.2">
      <c r="A23" s="1"/>
      <c r="B23" s="68"/>
      <c r="C23" s="68"/>
      <c r="D23" s="68"/>
      <c r="E23" s="68"/>
      <c r="F23" s="68"/>
      <c r="G23" s="68"/>
      <c r="H23" s="68"/>
      <c r="I23" s="69"/>
      <c r="J23" s="70"/>
      <c r="K23" s="71"/>
      <c r="L23" s="72"/>
      <c r="M23" s="73"/>
      <c r="N23" s="73"/>
      <c r="O23" s="74"/>
      <c r="P23" s="74"/>
    </row>
  </sheetData>
  <sheetProtection formatCells="0" formatRows="0" insertRows="0" deleteRows="0"/>
  <autoFilter ref="A4:P5">
    <filterColumn colId="1" showButton="0"/>
    <filterColumn colId="2" showButton="0"/>
    <filterColumn colId="5" showButton="0"/>
    <filterColumn colId="6" showButton="0"/>
    <filterColumn colId="8" showButton="0"/>
    <filterColumn colId="12" showButton="0"/>
    <filterColumn colId="14" showButton="0"/>
  </autoFilter>
  <mergeCells count="54">
    <mergeCell ref="B19:D19"/>
    <mergeCell ref="F21:H21"/>
    <mergeCell ref="O21:P21"/>
    <mergeCell ref="B22:D22"/>
    <mergeCell ref="F22:H22"/>
    <mergeCell ref="O22:P22"/>
    <mergeCell ref="F20:H20"/>
    <mergeCell ref="O20:P20"/>
    <mergeCell ref="B20:D21"/>
    <mergeCell ref="K20:K21"/>
    <mergeCell ref="L20:L21"/>
    <mergeCell ref="F19:H19"/>
    <mergeCell ref="O19:P19"/>
    <mergeCell ref="O16:P16"/>
    <mergeCell ref="B18:P18"/>
    <mergeCell ref="B15:D15"/>
    <mergeCell ref="F15:H15"/>
    <mergeCell ref="O15:P15"/>
    <mergeCell ref="B16:D16"/>
    <mergeCell ref="F16:I16"/>
    <mergeCell ref="O13:P14"/>
    <mergeCell ref="F14:H14"/>
    <mergeCell ref="B13:D14"/>
    <mergeCell ref="F13:H13"/>
    <mergeCell ref="K13:K14"/>
    <mergeCell ref="L13:L14"/>
    <mergeCell ref="M13:M14"/>
    <mergeCell ref="N13:N14"/>
    <mergeCell ref="B12:D12"/>
    <mergeCell ref="F12:H12"/>
    <mergeCell ref="O12:P12"/>
    <mergeCell ref="F11:H11"/>
    <mergeCell ref="B10:P10"/>
    <mergeCell ref="O11:P11"/>
    <mergeCell ref="B11:D11"/>
    <mergeCell ref="B8:D8"/>
    <mergeCell ref="F8:L8"/>
    <mergeCell ref="O8:P8"/>
    <mergeCell ref="B7:D7"/>
    <mergeCell ref="F7:H7"/>
    <mergeCell ref="O7:P7"/>
    <mergeCell ref="B6:D6"/>
    <mergeCell ref="F6:H6"/>
    <mergeCell ref="O6:P6"/>
    <mergeCell ref="M4:N4"/>
    <mergeCell ref="O4:P5"/>
    <mergeCell ref="B2:P2"/>
    <mergeCell ref="B3:P3"/>
    <mergeCell ref="B4:D5"/>
    <mergeCell ref="E4:E5"/>
    <mergeCell ref="F4:H5"/>
    <mergeCell ref="I4:J4"/>
    <mergeCell ref="K4:K5"/>
    <mergeCell ref="L4:L5"/>
  </mergeCells>
  <printOptions horizontalCentered="1"/>
  <pageMargins left="0.39370078740157483" right="0.39370078740157483" top="0.39370078740157483" bottom="0.78740157480314965" header="0" footer="0"/>
  <pageSetup scale="50" orientation="landscape" horizontalDpi="4294967294" verticalDpi="4294967294" r:id="rId1"/>
  <headerFooter alignWithMargins="0"/>
  <rowBreaks count="1" manualBreakCount="1">
    <brk id="12" max="16"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23"/>
  <sheetViews>
    <sheetView showGridLines="0" tabSelected="1" view="pageBreakPreview" topLeftCell="H1" zoomScale="70" zoomScaleNormal="70" zoomScaleSheetLayoutView="70" workbookViewId="0">
      <selection activeCell="I10" sqref="I10:K10"/>
    </sheetView>
  </sheetViews>
  <sheetFormatPr baseColWidth="10" defaultRowHeight="15" x14ac:dyDescent="0.2"/>
  <cols>
    <col min="1" max="1" width="1.85546875" style="1" customWidth="1"/>
    <col min="2" max="2" width="10.7109375" style="91" customWidth="1"/>
    <col min="3" max="3" width="10.7109375" style="29" customWidth="1"/>
    <col min="4" max="6" width="25.5703125" style="29" customWidth="1"/>
    <col min="7" max="7" width="12" style="29" customWidth="1"/>
    <col min="8" max="9" width="17" style="29" customWidth="1"/>
    <col min="10" max="11" width="17" style="95" customWidth="1"/>
    <col min="12" max="12" width="18.42578125" style="96" customWidth="1"/>
    <col min="13" max="13" width="20.140625" style="96" customWidth="1"/>
    <col min="14" max="14" width="24.42578125" style="36" customWidth="1"/>
    <col min="15" max="15" width="23.85546875" style="36" customWidth="1"/>
    <col min="16" max="16" width="12.85546875" style="96" customWidth="1"/>
    <col min="17" max="17" width="12.85546875" style="29" customWidth="1"/>
    <col min="18" max="18" width="13.42578125" style="96" customWidth="1"/>
    <col min="19" max="19" width="39.140625" style="112" customWidth="1"/>
    <col min="20" max="20" width="23.140625" style="10" customWidth="1"/>
    <col min="21" max="21" width="22.7109375" style="10" customWidth="1"/>
    <col min="22" max="22" width="15.140625" style="113" customWidth="1"/>
    <col min="23" max="23" width="20.5703125" style="114" customWidth="1"/>
    <col min="24" max="24" width="11.42578125" style="9"/>
    <col min="25" max="25" width="39.140625" style="1" customWidth="1"/>
    <col min="26" max="16384" width="11.42578125" style="1"/>
  </cols>
  <sheetData>
    <row r="1" spans="1:24" s="8" customFormat="1" x14ac:dyDescent="0.2">
      <c r="A1" s="1"/>
      <c r="B1" s="91"/>
      <c r="C1" s="29"/>
      <c r="D1" s="29"/>
      <c r="E1" s="29"/>
      <c r="F1" s="29"/>
      <c r="G1" s="29"/>
      <c r="H1" s="29"/>
      <c r="I1" s="29"/>
      <c r="J1" s="95"/>
      <c r="K1" s="95"/>
      <c r="L1" s="96"/>
      <c r="M1" s="96"/>
      <c r="N1" s="36"/>
      <c r="O1" s="36"/>
      <c r="P1" s="96"/>
      <c r="Q1" s="29"/>
      <c r="R1" s="97"/>
      <c r="S1" s="98"/>
      <c r="T1" s="99"/>
      <c r="U1" s="99"/>
      <c r="V1" s="100"/>
      <c r="W1" s="101"/>
      <c r="X1" s="75"/>
    </row>
    <row r="2" spans="1:24" s="8" customFormat="1" ht="27.75" customHeight="1" x14ac:dyDescent="0.2">
      <c r="A2" s="1"/>
      <c r="B2" s="428"/>
      <c r="C2" s="428"/>
      <c r="D2" s="428"/>
      <c r="E2" s="428"/>
      <c r="F2" s="428"/>
      <c r="G2" s="428"/>
      <c r="H2" s="477" t="s">
        <v>0</v>
      </c>
      <c r="I2" s="477"/>
      <c r="J2" s="477"/>
      <c r="K2" s="477"/>
      <c r="L2" s="477"/>
      <c r="M2" s="477"/>
      <c r="N2" s="477"/>
      <c r="O2" s="477"/>
      <c r="P2" s="477"/>
      <c r="Q2" s="477"/>
      <c r="R2" s="477"/>
      <c r="S2" s="477"/>
      <c r="T2" s="477"/>
      <c r="U2" s="102" t="s">
        <v>1</v>
      </c>
      <c r="V2" s="471" t="s">
        <v>2</v>
      </c>
      <c r="W2" s="472"/>
      <c r="X2" s="75"/>
    </row>
    <row r="3" spans="1:24" s="8" customFormat="1" ht="27.75" customHeight="1" x14ac:dyDescent="0.2">
      <c r="A3" s="1"/>
      <c r="B3" s="428"/>
      <c r="C3" s="428"/>
      <c r="D3" s="428"/>
      <c r="E3" s="428"/>
      <c r="F3" s="428"/>
      <c r="G3" s="428"/>
      <c r="H3" s="477"/>
      <c r="I3" s="477"/>
      <c r="J3" s="477"/>
      <c r="K3" s="477"/>
      <c r="L3" s="477"/>
      <c r="M3" s="477"/>
      <c r="N3" s="477"/>
      <c r="O3" s="477"/>
      <c r="P3" s="477"/>
      <c r="Q3" s="477"/>
      <c r="R3" s="477"/>
      <c r="S3" s="477"/>
      <c r="T3" s="477"/>
      <c r="U3" s="102" t="s">
        <v>3</v>
      </c>
      <c r="V3" s="471">
        <v>3</v>
      </c>
      <c r="W3" s="472"/>
      <c r="X3" s="75"/>
    </row>
    <row r="4" spans="1:24" s="8" customFormat="1" ht="41.25" customHeight="1" x14ac:dyDescent="0.2">
      <c r="A4" s="1"/>
      <c r="B4" s="428"/>
      <c r="C4" s="428"/>
      <c r="D4" s="428"/>
      <c r="E4" s="428"/>
      <c r="F4" s="428"/>
      <c r="G4" s="428"/>
      <c r="H4" s="482" t="s">
        <v>4</v>
      </c>
      <c r="I4" s="482"/>
      <c r="J4" s="482"/>
      <c r="K4" s="482"/>
      <c r="L4" s="482"/>
      <c r="M4" s="482"/>
      <c r="N4" s="482"/>
      <c r="O4" s="482"/>
      <c r="P4" s="482"/>
      <c r="Q4" s="482"/>
      <c r="R4" s="482"/>
      <c r="S4" s="482"/>
      <c r="T4" s="482"/>
      <c r="U4" s="103" t="s">
        <v>5</v>
      </c>
      <c r="V4" s="473">
        <v>42536</v>
      </c>
      <c r="W4" s="474"/>
      <c r="X4" s="75"/>
    </row>
    <row r="5" spans="1:24" s="8" customFormat="1" ht="15" customHeight="1" x14ac:dyDescent="0.2">
      <c r="A5" s="4"/>
      <c r="B5" s="104"/>
      <c r="C5" s="105"/>
      <c r="D5" s="105"/>
      <c r="E5" s="106"/>
      <c r="F5" s="106"/>
      <c r="G5" s="105"/>
      <c r="H5" s="105"/>
      <c r="I5" s="106"/>
      <c r="J5" s="107"/>
      <c r="K5" s="107"/>
      <c r="L5" s="106"/>
      <c r="M5" s="92"/>
      <c r="N5" s="37"/>
      <c r="O5" s="37"/>
      <c r="P5" s="92"/>
      <c r="Q5" s="92"/>
      <c r="R5" s="108"/>
      <c r="S5" s="109"/>
      <c r="T5" s="65"/>
      <c r="U5" s="99"/>
      <c r="V5" s="100"/>
      <c r="W5" s="101"/>
      <c r="X5" s="75"/>
    </row>
    <row r="6" spans="1:24" s="8" customFormat="1" ht="26.25" customHeight="1" x14ac:dyDescent="0.2">
      <c r="A6" s="1"/>
      <c r="B6" s="483" t="s">
        <v>6</v>
      </c>
      <c r="C6" s="483"/>
      <c r="D6" s="483"/>
      <c r="E6" s="483"/>
      <c r="F6" s="483"/>
      <c r="G6" s="483"/>
      <c r="H6" s="483"/>
      <c r="I6" s="483"/>
      <c r="J6" s="483"/>
      <c r="K6" s="483"/>
      <c r="L6" s="483"/>
      <c r="M6" s="483"/>
      <c r="N6" s="483"/>
      <c r="O6" s="483"/>
      <c r="P6" s="483"/>
      <c r="Q6" s="483"/>
      <c r="R6" s="483"/>
      <c r="S6" s="483"/>
      <c r="T6" s="483"/>
      <c r="U6" s="483"/>
      <c r="V6" s="483"/>
      <c r="W6" s="483"/>
      <c r="X6" s="75"/>
    </row>
    <row r="7" spans="1:24" s="8" customFormat="1" ht="33" customHeight="1" x14ac:dyDescent="0.2">
      <c r="A7" s="1"/>
      <c r="B7" s="447" t="s">
        <v>7</v>
      </c>
      <c r="C7" s="447"/>
      <c r="D7" s="447"/>
      <c r="E7" s="448" t="s">
        <v>34</v>
      </c>
      <c r="F7" s="448"/>
      <c r="G7" s="448"/>
      <c r="H7" s="448"/>
      <c r="I7" s="446" t="s">
        <v>8</v>
      </c>
      <c r="J7" s="446"/>
      <c r="K7" s="446"/>
      <c r="L7" s="484" t="s">
        <v>73</v>
      </c>
      <c r="M7" s="484"/>
      <c r="N7" s="484"/>
      <c r="O7" s="484"/>
      <c r="P7" s="484"/>
      <c r="Q7" s="484"/>
      <c r="R7" s="484"/>
      <c r="S7" s="484"/>
      <c r="T7" s="484"/>
      <c r="U7" s="484"/>
      <c r="V7" s="484"/>
      <c r="W7" s="484"/>
      <c r="X7" s="75"/>
    </row>
    <row r="8" spans="1:24" s="8" customFormat="1" ht="33.75" customHeight="1" x14ac:dyDescent="0.2">
      <c r="A8" s="1"/>
      <c r="B8" s="447" t="s">
        <v>9</v>
      </c>
      <c r="C8" s="447"/>
      <c r="D8" s="447"/>
      <c r="E8" s="448" t="s">
        <v>36</v>
      </c>
      <c r="F8" s="448"/>
      <c r="G8" s="448"/>
      <c r="H8" s="448"/>
      <c r="I8" s="446" t="s">
        <v>10</v>
      </c>
      <c r="J8" s="446"/>
      <c r="K8" s="446"/>
      <c r="L8" s="484" t="s">
        <v>39</v>
      </c>
      <c r="M8" s="484"/>
      <c r="N8" s="484"/>
      <c r="O8" s="484"/>
      <c r="P8" s="484"/>
      <c r="Q8" s="484"/>
      <c r="R8" s="484"/>
      <c r="S8" s="484"/>
      <c r="T8" s="484"/>
      <c r="U8" s="484"/>
      <c r="V8" s="484"/>
      <c r="W8" s="484"/>
      <c r="X8" s="75"/>
    </row>
    <row r="9" spans="1:24" s="8" customFormat="1" ht="32.25" customHeight="1" x14ac:dyDescent="0.2">
      <c r="A9" s="1"/>
      <c r="B9" s="447" t="s">
        <v>11</v>
      </c>
      <c r="C9" s="447"/>
      <c r="D9" s="447"/>
      <c r="E9" s="448" t="s">
        <v>42</v>
      </c>
      <c r="F9" s="448"/>
      <c r="G9" s="448"/>
      <c r="H9" s="448"/>
      <c r="I9" s="446" t="s">
        <v>12</v>
      </c>
      <c r="J9" s="446"/>
      <c r="K9" s="446"/>
      <c r="L9" s="484" t="s">
        <v>45</v>
      </c>
      <c r="M9" s="484"/>
      <c r="N9" s="484"/>
      <c r="O9" s="484"/>
      <c r="P9" s="484"/>
      <c r="Q9" s="484"/>
      <c r="R9" s="484"/>
      <c r="S9" s="484"/>
      <c r="T9" s="484"/>
      <c r="U9" s="484"/>
      <c r="V9" s="484"/>
      <c r="W9" s="484"/>
      <c r="X9" s="75"/>
    </row>
    <row r="10" spans="1:24" s="8" customFormat="1" ht="201" customHeight="1" x14ac:dyDescent="0.2">
      <c r="A10" s="1"/>
      <c r="B10" s="447" t="s">
        <v>13</v>
      </c>
      <c r="C10" s="447"/>
      <c r="D10" s="447"/>
      <c r="E10" s="448" t="s">
        <v>144</v>
      </c>
      <c r="F10" s="448"/>
      <c r="G10" s="448"/>
      <c r="H10" s="448"/>
      <c r="I10" s="446" t="s">
        <v>52</v>
      </c>
      <c r="J10" s="446"/>
      <c r="K10" s="446"/>
      <c r="L10" s="485" t="s">
        <v>147</v>
      </c>
      <c r="M10" s="485"/>
      <c r="N10" s="485"/>
      <c r="O10" s="485"/>
      <c r="P10" s="485"/>
      <c r="Q10" s="485"/>
      <c r="R10" s="485"/>
      <c r="S10" s="485"/>
      <c r="T10" s="485"/>
      <c r="U10" s="485"/>
      <c r="V10" s="485"/>
      <c r="W10" s="485"/>
      <c r="X10" s="75"/>
    </row>
    <row r="11" spans="1:24" s="8" customFormat="1" ht="54.75" customHeight="1" x14ac:dyDescent="0.2">
      <c r="A11" s="1"/>
      <c r="B11" s="447" t="s">
        <v>15</v>
      </c>
      <c r="C11" s="447"/>
      <c r="D11" s="447"/>
      <c r="E11" s="448" t="s">
        <v>142</v>
      </c>
      <c r="F11" s="448"/>
      <c r="G11" s="448"/>
      <c r="H11" s="448"/>
      <c r="I11" s="446" t="s">
        <v>53</v>
      </c>
      <c r="J11" s="446"/>
      <c r="K11" s="446"/>
      <c r="L11" s="484">
        <v>2017</v>
      </c>
      <c r="M11" s="484"/>
      <c r="N11" s="484"/>
      <c r="O11" s="484"/>
      <c r="P11" s="484"/>
      <c r="Q11" s="484"/>
      <c r="R11" s="484"/>
      <c r="S11" s="484"/>
      <c r="T11" s="484"/>
      <c r="U11" s="484"/>
      <c r="V11" s="484"/>
      <c r="W11" s="484"/>
      <c r="X11" s="75"/>
    </row>
    <row r="12" spans="1:24" s="8" customFormat="1" ht="91.5" customHeight="1" x14ac:dyDescent="0.2">
      <c r="A12" s="1"/>
      <c r="B12" s="449" t="s">
        <v>17</v>
      </c>
      <c r="C12" s="450"/>
      <c r="D12" s="451"/>
      <c r="E12" s="448" t="s">
        <v>51</v>
      </c>
      <c r="F12" s="448"/>
      <c r="G12" s="448"/>
      <c r="H12" s="448"/>
      <c r="I12" s="446" t="s">
        <v>18</v>
      </c>
      <c r="J12" s="446"/>
      <c r="K12" s="446"/>
      <c r="L12" s="484" t="s">
        <v>126</v>
      </c>
      <c r="M12" s="484"/>
      <c r="N12" s="484"/>
      <c r="O12" s="484"/>
      <c r="P12" s="484"/>
      <c r="Q12" s="484"/>
      <c r="R12" s="484"/>
      <c r="S12" s="484"/>
      <c r="T12" s="484"/>
      <c r="U12" s="484"/>
      <c r="V12" s="484"/>
      <c r="W12" s="484"/>
      <c r="X12" s="75"/>
    </row>
    <row r="13" spans="1:24" s="8" customFormat="1" ht="12" customHeight="1" x14ac:dyDescent="0.2">
      <c r="A13" s="4"/>
      <c r="B13" s="110"/>
      <c r="C13" s="105"/>
      <c r="D13" s="105"/>
      <c r="E13" s="106"/>
      <c r="F13" s="106"/>
      <c r="G13" s="105"/>
      <c r="H13" s="105"/>
      <c r="I13" s="106"/>
      <c r="J13" s="107"/>
      <c r="K13" s="107"/>
      <c r="L13" s="106"/>
      <c r="M13" s="92"/>
      <c r="N13" s="37"/>
      <c r="O13" s="37"/>
      <c r="P13" s="92"/>
      <c r="Q13" s="92"/>
      <c r="R13" s="108"/>
      <c r="S13" s="109"/>
      <c r="T13" s="65"/>
      <c r="U13" s="99"/>
      <c r="V13" s="100"/>
      <c r="W13" s="101"/>
      <c r="X13" s="75"/>
    </row>
    <row r="14" spans="1:24" s="8" customFormat="1" ht="26.25" customHeight="1" x14ac:dyDescent="0.2">
      <c r="A14" s="1"/>
      <c r="B14" s="439" t="s">
        <v>19</v>
      </c>
      <c r="C14" s="440"/>
      <c r="D14" s="440"/>
      <c r="E14" s="440"/>
      <c r="F14" s="440"/>
      <c r="G14" s="440"/>
      <c r="H14" s="440"/>
      <c r="I14" s="440"/>
      <c r="J14" s="440"/>
      <c r="K14" s="440"/>
      <c r="L14" s="440"/>
      <c r="M14" s="440"/>
      <c r="N14" s="440"/>
      <c r="O14" s="440"/>
      <c r="P14" s="440"/>
      <c r="Q14" s="441"/>
      <c r="R14" s="439" t="s">
        <v>317</v>
      </c>
      <c r="S14" s="440"/>
      <c r="T14" s="440"/>
      <c r="U14" s="440"/>
      <c r="V14" s="440"/>
      <c r="W14" s="441"/>
      <c r="X14" s="75"/>
    </row>
    <row r="15" spans="1:24" s="8" customFormat="1" ht="26.25" customHeight="1" x14ac:dyDescent="0.2">
      <c r="B15" s="439" t="s">
        <v>127</v>
      </c>
      <c r="C15" s="440"/>
      <c r="D15" s="440"/>
      <c r="E15" s="440"/>
      <c r="F15" s="440"/>
      <c r="G15" s="440"/>
      <c r="H15" s="440"/>
      <c r="I15" s="440"/>
      <c r="J15" s="440"/>
      <c r="K15" s="440"/>
      <c r="L15" s="440"/>
      <c r="M15" s="440"/>
      <c r="N15" s="440"/>
      <c r="O15" s="440"/>
      <c r="P15" s="440"/>
      <c r="Q15" s="440"/>
      <c r="R15" s="440"/>
      <c r="S15" s="440"/>
      <c r="T15" s="440"/>
      <c r="U15" s="440"/>
      <c r="V15" s="440"/>
      <c r="W15" s="441"/>
      <c r="X15" s="75"/>
    </row>
    <row r="16" spans="1:24" s="8" customFormat="1" ht="15.75" customHeight="1" x14ac:dyDescent="0.2">
      <c r="B16" s="429" t="s">
        <v>20</v>
      </c>
      <c r="C16" s="429" t="s">
        <v>179</v>
      </c>
      <c r="D16" s="431"/>
      <c r="E16" s="432"/>
      <c r="F16" s="443" t="s">
        <v>21</v>
      </c>
      <c r="G16" s="429" t="s">
        <v>193</v>
      </c>
      <c r="H16" s="431"/>
      <c r="I16" s="432"/>
      <c r="J16" s="442" t="s">
        <v>194</v>
      </c>
      <c r="K16" s="442"/>
      <c r="L16" s="443" t="s">
        <v>24</v>
      </c>
      <c r="M16" s="443" t="s">
        <v>25</v>
      </c>
      <c r="N16" s="444" t="s">
        <v>26</v>
      </c>
      <c r="O16" s="445"/>
      <c r="P16" s="435" t="s">
        <v>27</v>
      </c>
      <c r="Q16" s="436"/>
      <c r="R16" s="475" t="s">
        <v>318</v>
      </c>
      <c r="S16" s="475" t="s">
        <v>319</v>
      </c>
      <c r="T16" s="475" t="s">
        <v>320</v>
      </c>
      <c r="U16" s="475" t="s">
        <v>321</v>
      </c>
      <c r="V16" s="475" t="s">
        <v>322</v>
      </c>
      <c r="W16" s="475" t="s">
        <v>323</v>
      </c>
      <c r="X16" s="75"/>
    </row>
    <row r="17" spans="2:24" s="8" customFormat="1" ht="45.75" customHeight="1" x14ac:dyDescent="0.2">
      <c r="B17" s="430"/>
      <c r="C17" s="430"/>
      <c r="D17" s="433"/>
      <c r="E17" s="434"/>
      <c r="F17" s="443"/>
      <c r="G17" s="430"/>
      <c r="H17" s="433"/>
      <c r="I17" s="434"/>
      <c r="J17" s="111" t="s">
        <v>28</v>
      </c>
      <c r="K17" s="111" t="s">
        <v>29</v>
      </c>
      <c r="L17" s="443"/>
      <c r="M17" s="443"/>
      <c r="N17" s="34" t="s">
        <v>30</v>
      </c>
      <c r="O17" s="34" t="s">
        <v>31</v>
      </c>
      <c r="P17" s="437"/>
      <c r="Q17" s="438"/>
      <c r="R17" s="476"/>
      <c r="S17" s="476"/>
      <c r="T17" s="476"/>
      <c r="U17" s="476"/>
      <c r="V17" s="476"/>
      <c r="W17" s="476"/>
      <c r="X17" s="75"/>
    </row>
    <row r="18" spans="2:24" s="91" customFormat="1" ht="122.25" customHeight="1" x14ac:dyDescent="0.2">
      <c r="B18" s="168">
        <v>1</v>
      </c>
      <c r="C18" s="452" t="s">
        <v>180</v>
      </c>
      <c r="D18" s="452"/>
      <c r="E18" s="452"/>
      <c r="F18" s="259">
        <v>8.0000000000000002E-3</v>
      </c>
      <c r="G18" s="361" t="s">
        <v>149</v>
      </c>
      <c r="H18" s="361"/>
      <c r="I18" s="361"/>
      <c r="J18" s="51">
        <v>42795</v>
      </c>
      <c r="K18" s="51">
        <v>43100</v>
      </c>
      <c r="L18" s="394" t="s">
        <v>280</v>
      </c>
      <c r="M18" s="395" t="s">
        <v>281</v>
      </c>
      <c r="N18" s="253">
        <f>78966000+70620000</f>
        <v>149586000</v>
      </c>
      <c r="O18" s="175"/>
      <c r="P18" s="361" t="s">
        <v>341</v>
      </c>
      <c r="Q18" s="361"/>
      <c r="R18" s="169" t="s">
        <v>325</v>
      </c>
      <c r="S18" s="176" t="s">
        <v>445</v>
      </c>
      <c r="T18" s="177">
        <f>78966000+70620000</f>
        <v>149586000</v>
      </c>
      <c r="U18" s="178"/>
      <c r="V18" s="278">
        <v>8.0000000000000002E-3</v>
      </c>
      <c r="W18" s="172"/>
      <c r="X18" s="173"/>
    </row>
    <row r="19" spans="2:24" s="91" customFormat="1" ht="271.5" customHeight="1" x14ac:dyDescent="0.2">
      <c r="B19" s="168">
        <v>2</v>
      </c>
      <c r="C19" s="452"/>
      <c r="D19" s="452"/>
      <c r="E19" s="452"/>
      <c r="F19" s="259">
        <v>8.0000000000000002E-3</v>
      </c>
      <c r="G19" s="361" t="s">
        <v>171</v>
      </c>
      <c r="H19" s="361"/>
      <c r="I19" s="361"/>
      <c r="J19" s="51">
        <v>42767</v>
      </c>
      <c r="K19" s="51">
        <v>43100</v>
      </c>
      <c r="L19" s="394"/>
      <c r="M19" s="395"/>
      <c r="N19" s="253">
        <f>59920000+41944000</f>
        <v>101864000</v>
      </c>
      <c r="O19" s="175"/>
      <c r="P19" s="361" t="s">
        <v>355</v>
      </c>
      <c r="Q19" s="361"/>
      <c r="R19" s="169" t="s">
        <v>325</v>
      </c>
      <c r="S19" s="176" t="s">
        <v>446</v>
      </c>
      <c r="T19" s="177">
        <f>59920000+41944000</f>
        <v>101864000</v>
      </c>
      <c r="U19" s="178"/>
      <c r="V19" s="278">
        <v>8.0000000000000002E-3</v>
      </c>
      <c r="W19" s="172"/>
      <c r="X19" s="179"/>
    </row>
    <row r="20" spans="2:24" s="91" customFormat="1" ht="102.75" customHeight="1" x14ac:dyDescent="0.2">
      <c r="B20" s="168">
        <v>3</v>
      </c>
      <c r="C20" s="452"/>
      <c r="D20" s="452"/>
      <c r="E20" s="452"/>
      <c r="F20" s="259">
        <v>8.0000000000000002E-3</v>
      </c>
      <c r="G20" s="361" t="s">
        <v>150</v>
      </c>
      <c r="H20" s="361"/>
      <c r="I20" s="361"/>
      <c r="J20" s="51">
        <v>42767</v>
      </c>
      <c r="K20" s="51">
        <v>43100</v>
      </c>
      <c r="L20" s="394"/>
      <c r="M20" s="395"/>
      <c r="N20" s="253">
        <f>20508333</f>
        <v>20508333</v>
      </c>
      <c r="O20" s="175"/>
      <c r="P20" s="361" t="s">
        <v>340</v>
      </c>
      <c r="Q20" s="361"/>
      <c r="R20" s="169" t="s">
        <v>325</v>
      </c>
      <c r="S20" s="176" t="s">
        <v>447</v>
      </c>
      <c r="T20" s="177">
        <v>20508333</v>
      </c>
      <c r="U20" s="178"/>
      <c r="V20" s="278">
        <v>8.0000000000000002E-3</v>
      </c>
      <c r="W20" s="172"/>
      <c r="X20" s="173"/>
    </row>
    <row r="21" spans="2:24" s="91" customFormat="1" ht="99" customHeight="1" x14ac:dyDescent="0.2">
      <c r="B21" s="168">
        <v>4</v>
      </c>
      <c r="C21" s="452"/>
      <c r="D21" s="452"/>
      <c r="E21" s="452"/>
      <c r="F21" s="259">
        <v>8.0000000000000002E-3</v>
      </c>
      <c r="G21" s="361" t="s">
        <v>155</v>
      </c>
      <c r="H21" s="361"/>
      <c r="I21" s="361"/>
      <c r="J21" s="51">
        <v>42767</v>
      </c>
      <c r="K21" s="51">
        <v>43100</v>
      </c>
      <c r="L21" s="394"/>
      <c r="M21" s="395"/>
      <c r="N21" s="396">
        <v>32688500</v>
      </c>
      <c r="O21" s="396"/>
      <c r="P21" s="361" t="s">
        <v>356</v>
      </c>
      <c r="Q21" s="361"/>
      <c r="R21" s="169" t="s">
        <v>325</v>
      </c>
      <c r="S21" s="176" t="s">
        <v>448</v>
      </c>
      <c r="T21" s="387">
        <v>32688500</v>
      </c>
      <c r="U21" s="178"/>
      <c r="V21" s="278">
        <v>8.0000000000000002E-3</v>
      </c>
      <c r="W21" s="172"/>
      <c r="X21" s="173"/>
    </row>
    <row r="22" spans="2:24" s="91" customFormat="1" ht="224.25" customHeight="1" x14ac:dyDescent="0.2">
      <c r="B22" s="168">
        <v>5</v>
      </c>
      <c r="C22" s="452"/>
      <c r="D22" s="452"/>
      <c r="E22" s="452"/>
      <c r="F22" s="259">
        <v>8.0000000000000002E-3</v>
      </c>
      <c r="G22" s="361" t="s">
        <v>172</v>
      </c>
      <c r="H22" s="361"/>
      <c r="I22" s="361"/>
      <c r="J22" s="51">
        <v>42767</v>
      </c>
      <c r="K22" s="51">
        <v>43100</v>
      </c>
      <c r="L22" s="394"/>
      <c r="M22" s="395"/>
      <c r="N22" s="396"/>
      <c r="O22" s="396"/>
      <c r="P22" s="361"/>
      <c r="Q22" s="361"/>
      <c r="R22" s="169" t="s">
        <v>325</v>
      </c>
      <c r="S22" s="176" t="s">
        <v>449</v>
      </c>
      <c r="T22" s="387"/>
      <c r="U22" s="178"/>
      <c r="V22" s="278">
        <v>8.0000000000000002E-3</v>
      </c>
      <c r="W22" s="172"/>
      <c r="X22" s="173"/>
    </row>
    <row r="23" spans="2:24" s="91" customFormat="1" ht="122.25" customHeight="1" x14ac:dyDescent="0.2">
      <c r="B23" s="168">
        <v>6</v>
      </c>
      <c r="C23" s="393" t="s">
        <v>182</v>
      </c>
      <c r="D23" s="393"/>
      <c r="E23" s="393"/>
      <c r="F23" s="259">
        <v>8.0000000000000002E-3</v>
      </c>
      <c r="G23" s="361" t="s">
        <v>153</v>
      </c>
      <c r="H23" s="361"/>
      <c r="I23" s="361"/>
      <c r="J23" s="51">
        <v>42826</v>
      </c>
      <c r="K23" s="51">
        <v>43100</v>
      </c>
      <c r="L23" s="394" t="s">
        <v>289</v>
      </c>
      <c r="M23" s="395" t="s">
        <v>282</v>
      </c>
      <c r="N23" s="396"/>
      <c r="O23" s="396"/>
      <c r="P23" s="361"/>
      <c r="Q23" s="361"/>
      <c r="R23" s="169" t="s">
        <v>325</v>
      </c>
      <c r="S23" s="176" t="s">
        <v>408</v>
      </c>
      <c r="T23" s="387"/>
      <c r="U23" s="178"/>
      <c r="V23" s="278">
        <v>8.0000000000000002E-3</v>
      </c>
      <c r="W23" s="172"/>
      <c r="X23" s="173"/>
    </row>
    <row r="24" spans="2:24" s="91" customFormat="1" ht="51" customHeight="1" x14ac:dyDescent="0.2">
      <c r="B24" s="168">
        <v>7</v>
      </c>
      <c r="C24" s="393"/>
      <c r="D24" s="393"/>
      <c r="E24" s="393"/>
      <c r="F24" s="259">
        <v>8.0000000000000002E-3</v>
      </c>
      <c r="G24" s="361" t="s">
        <v>173</v>
      </c>
      <c r="H24" s="361"/>
      <c r="I24" s="361"/>
      <c r="J24" s="51">
        <v>42826</v>
      </c>
      <c r="K24" s="51">
        <v>43100</v>
      </c>
      <c r="L24" s="394"/>
      <c r="M24" s="395"/>
      <c r="N24" s="396"/>
      <c r="O24" s="396"/>
      <c r="P24" s="361"/>
      <c r="Q24" s="361"/>
      <c r="R24" s="180" t="s">
        <v>325</v>
      </c>
      <c r="S24" s="176" t="s">
        <v>450</v>
      </c>
      <c r="T24" s="387"/>
      <c r="U24" s="181"/>
      <c r="V24" s="279">
        <v>8.0000000000000002E-3</v>
      </c>
      <c r="W24" s="172"/>
      <c r="X24" s="179"/>
    </row>
    <row r="25" spans="2:24" s="91" customFormat="1" ht="105.75" customHeight="1" x14ac:dyDescent="0.2">
      <c r="B25" s="168">
        <v>8</v>
      </c>
      <c r="C25" s="393"/>
      <c r="D25" s="393"/>
      <c r="E25" s="393"/>
      <c r="F25" s="259">
        <v>8.0000000000000002E-3</v>
      </c>
      <c r="G25" s="361" t="s">
        <v>175</v>
      </c>
      <c r="H25" s="361"/>
      <c r="I25" s="361"/>
      <c r="J25" s="51">
        <v>42795</v>
      </c>
      <c r="K25" s="51">
        <v>42889</v>
      </c>
      <c r="L25" s="394"/>
      <c r="M25" s="395"/>
      <c r="N25" s="396"/>
      <c r="O25" s="396"/>
      <c r="P25" s="361"/>
      <c r="Q25" s="361"/>
      <c r="R25" s="169" t="s">
        <v>325</v>
      </c>
      <c r="S25" s="176" t="s">
        <v>407</v>
      </c>
      <c r="T25" s="387"/>
      <c r="U25" s="170"/>
      <c r="V25" s="279">
        <v>8.0000000000000002E-3</v>
      </c>
      <c r="W25" s="172"/>
      <c r="X25" s="173"/>
    </row>
    <row r="26" spans="2:24" s="91" customFormat="1" ht="57.75" customHeight="1" x14ac:dyDescent="0.2">
      <c r="B26" s="361">
        <v>9</v>
      </c>
      <c r="C26" s="361" t="s">
        <v>286</v>
      </c>
      <c r="D26" s="361"/>
      <c r="E26" s="361"/>
      <c r="F26" s="406">
        <v>8.0000000000000002E-3</v>
      </c>
      <c r="G26" s="361" t="s">
        <v>151</v>
      </c>
      <c r="H26" s="361"/>
      <c r="I26" s="361"/>
      <c r="J26" s="405">
        <v>42767</v>
      </c>
      <c r="K26" s="405">
        <v>43100</v>
      </c>
      <c r="L26" s="182" t="s">
        <v>283</v>
      </c>
      <c r="M26" s="183" t="s">
        <v>287</v>
      </c>
      <c r="N26" s="387">
        <f>59920000+97200000</f>
        <v>157120000</v>
      </c>
      <c r="O26" s="396"/>
      <c r="P26" s="361" t="s">
        <v>365</v>
      </c>
      <c r="Q26" s="361"/>
      <c r="R26" s="391" t="s">
        <v>325</v>
      </c>
      <c r="S26" s="499" t="s">
        <v>451</v>
      </c>
      <c r="T26" s="387">
        <f>59920000+97200000</f>
        <v>157120000</v>
      </c>
      <c r="U26" s="478"/>
      <c r="V26" s="479">
        <v>8.0000000000000002E-3</v>
      </c>
      <c r="W26" s="390"/>
      <c r="X26" s="173"/>
    </row>
    <row r="27" spans="2:24" s="91" customFormat="1" ht="57.75" customHeight="1" x14ac:dyDescent="0.2">
      <c r="B27" s="361"/>
      <c r="C27" s="361"/>
      <c r="D27" s="361"/>
      <c r="E27" s="361"/>
      <c r="F27" s="406"/>
      <c r="G27" s="361"/>
      <c r="H27" s="361"/>
      <c r="I27" s="361"/>
      <c r="J27" s="405"/>
      <c r="K27" s="405"/>
      <c r="L27" s="182" t="s">
        <v>288</v>
      </c>
      <c r="M27" s="183" t="s">
        <v>212</v>
      </c>
      <c r="N27" s="387"/>
      <c r="O27" s="396"/>
      <c r="P27" s="361"/>
      <c r="Q27" s="361"/>
      <c r="R27" s="391"/>
      <c r="S27" s="499"/>
      <c r="T27" s="387"/>
      <c r="U27" s="478"/>
      <c r="V27" s="479"/>
      <c r="W27" s="390"/>
      <c r="X27" s="173"/>
    </row>
    <row r="28" spans="2:24" s="91" customFormat="1" ht="57.75" customHeight="1" x14ac:dyDescent="0.2">
      <c r="B28" s="361"/>
      <c r="C28" s="361"/>
      <c r="D28" s="361"/>
      <c r="E28" s="361"/>
      <c r="F28" s="406"/>
      <c r="G28" s="361"/>
      <c r="H28" s="361"/>
      <c r="I28" s="361"/>
      <c r="J28" s="405"/>
      <c r="K28" s="405"/>
      <c r="L28" s="182" t="s">
        <v>284</v>
      </c>
      <c r="M28" s="183" t="s">
        <v>212</v>
      </c>
      <c r="N28" s="387"/>
      <c r="O28" s="396"/>
      <c r="P28" s="361"/>
      <c r="Q28" s="361"/>
      <c r="R28" s="391"/>
      <c r="S28" s="499"/>
      <c r="T28" s="387"/>
      <c r="U28" s="478"/>
      <c r="V28" s="479"/>
      <c r="W28" s="390"/>
      <c r="X28" s="173"/>
    </row>
    <row r="29" spans="2:24" s="184" customFormat="1" ht="33.75" customHeight="1" x14ac:dyDescent="0.25">
      <c r="B29" s="407" t="s">
        <v>32</v>
      </c>
      <c r="C29" s="407"/>
      <c r="D29" s="407"/>
      <c r="E29" s="407"/>
      <c r="F29" s="185">
        <f>SUM(F18:F28)</f>
        <v>7.2000000000000008E-2</v>
      </c>
      <c r="G29" s="409"/>
      <c r="H29" s="409"/>
      <c r="I29" s="409"/>
      <c r="J29" s="409"/>
      <c r="K29" s="409"/>
      <c r="L29" s="409"/>
      <c r="M29" s="409"/>
      <c r="N29" s="186">
        <f>SUM(N18:N28)</f>
        <v>461766833</v>
      </c>
      <c r="O29" s="186">
        <f>SUM(O18:O28)</f>
        <v>0</v>
      </c>
      <c r="P29" s="498"/>
      <c r="Q29" s="498"/>
      <c r="R29" s="187"/>
      <c r="S29" s="188"/>
      <c r="T29" s="189">
        <f>SUM(T18:T28)</f>
        <v>461766833</v>
      </c>
      <c r="U29" s="189">
        <f>SUM(U18:U28)</f>
        <v>0</v>
      </c>
      <c r="V29" s="190">
        <f>SUM(V18:V28)</f>
        <v>7.2000000000000008E-2</v>
      </c>
      <c r="W29" s="191"/>
      <c r="X29" s="192"/>
    </row>
    <row r="30" spans="2:24" s="8" customFormat="1" ht="42.75" customHeight="1" x14ac:dyDescent="0.2">
      <c r="B30" s="486" t="s">
        <v>146</v>
      </c>
      <c r="C30" s="486"/>
      <c r="D30" s="486"/>
      <c r="E30" s="486"/>
      <c r="F30" s="486"/>
      <c r="G30" s="486"/>
      <c r="H30" s="486"/>
      <c r="I30" s="486"/>
      <c r="J30" s="486"/>
      <c r="K30" s="486"/>
      <c r="L30" s="486"/>
      <c r="M30" s="486"/>
      <c r="N30" s="486"/>
      <c r="O30" s="486"/>
      <c r="P30" s="486"/>
      <c r="Q30" s="486"/>
      <c r="R30" s="486"/>
      <c r="S30" s="486"/>
      <c r="T30" s="486"/>
      <c r="U30" s="486"/>
      <c r="V30" s="486"/>
      <c r="W30" s="486"/>
      <c r="X30" s="75"/>
    </row>
    <row r="31" spans="2:24" s="91" customFormat="1" ht="85.5" customHeight="1" x14ac:dyDescent="0.2">
      <c r="B31" s="168">
        <v>10</v>
      </c>
      <c r="C31" s="361" t="s">
        <v>181</v>
      </c>
      <c r="D31" s="361"/>
      <c r="E31" s="361"/>
      <c r="F31" s="259">
        <v>1.2999999999999999E-2</v>
      </c>
      <c r="G31" s="361" t="s">
        <v>329</v>
      </c>
      <c r="H31" s="361"/>
      <c r="I31" s="361"/>
      <c r="J31" s="88">
        <v>42614</v>
      </c>
      <c r="K31" s="51">
        <v>42885</v>
      </c>
      <c r="L31" s="400" t="s">
        <v>224</v>
      </c>
      <c r="M31" s="401" t="s">
        <v>225</v>
      </c>
      <c r="N31" s="389">
        <f>20000000+10000000+20533333+14000000</f>
        <v>64533333</v>
      </c>
      <c r="O31" s="402">
        <v>616922833</v>
      </c>
      <c r="P31" s="362" t="s">
        <v>364</v>
      </c>
      <c r="Q31" s="362"/>
      <c r="R31" s="262" t="s">
        <v>325</v>
      </c>
      <c r="S31" s="263" t="s">
        <v>384</v>
      </c>
      <c r="T31" s="389">
        <f>20000000+10000000+19653333+10400000</f>
        <v>60053333</v>
      </c>
      <c r="U31" s="402">
        <v>616922833</v>
      </c>
      <c r="V31" s="278">
        <v>1.2999999999999999E-2</v>
      </c>
      <c r="W31" s="390"/>
      <c r="X31" s="193"/>
    </row>
    <row r="32" spans="2:24" s="91" customFormat="1" ht="105" customHeight="1" x14ac:dyDescent="0.2">
      <c r="B32" s="168">
        <v>11</v>
      </c>
      <c r="C32" s="361"/>
      <c r="D32" s="361"/>
      <c r="E32" s="361"/>
      <c r="F32" s="259">
        <v>1.2999999999999999E-2</v>
      </c>
      <c r="G32" s="361" t="s">
        <v>330</v>
      </c>
      <c r="H32" s="361"/>
      <c r="I32" s="361"/>
      <c r="J32" s="51">
        <v>42614</v>
      </c>
      <c r="K32" s="51">
        <v>42885</v>
      </c>
      <c r="L32" s="400"/>
      <c r="M32" s="401"/>
      <c r="N32" s="389"/>
      <c r="O32" s="403"/>
      <c r="P32" s="362"/>
      <c r="Q32" s="362"/>
      <c r="R32" s="262" t="s">
        <v>325</v>
      </c>
      <c r="S32" s="263" t="s">
        <v>385</v>
      </c>
      <c r="T32" s="389"/>
      <c r="U32" s="403"/>
      <c r="V32" s="278">
        <v>1.2999999999999999E-2</v>
      </c>
      <c r="W32" s="390"/>
      <c r="X32" s="193"/>
    </row>
    <row r="33" spans="2:24" s="91" customFormat="1" ht="117" customHeight="1" x14ac:dyDescent="0.2">
      <c r="B33" s="168">
        <v>12</v>
      </c>
      <c r="C33" s="361"/>
      <c r="D33" s="361"/>
      <c r="E33" s="361"/>
      <c r="F33" s="259">
        <v>1.2999999999999999E-2</v>
      </c>
      <c r="G33" s="361" t="s">
        <v>331</v>
      </c>
      <c r="H33" s="361"/>
      <c r="I33" s="361"/>
      <c r="J33" s="88">
        <v>42705</v>
      </c>
      <c r="K33" s="88">
        <v>42885</v>
      </c>
      <c r="L33" s="400"/>
      <c r="M33" s="401"/>
      <c r="N33" s="389"/>
      <c r="O33" s="403"/>
      <c r="P33" s="362"/>
      <c r="Q33" s="362"/>
      <c r="R33" s="262" t="s">
        <v>325</v>
      </c>
      <c r="S33" s="263" t="s">
        <v>386</v>
      </c>
      <c r="T33" s="389"/>
      <c r="U33" s="403"/>
      <c r="V33" s="278">
        <v>1.2999999999999999E-2</v>
      </c>
      <c r="W33" s="390"/>
      <c r="X33" s="193"/>
    </row>
    <row r="34" spans="2:24" s="91" customFormat="1" ht="158.25" customHeight="1" x14ac:dyDescent="0.2">
      <c r="B34" s="168">
        <v>13</v>
      </c>
      <c r="C34" s="361"/>
      <c r="D34" s="361"/>
      <c r="E34" s="361"/>
      <c r="F34" s="259">
        <v>8.0000000000000002E-3</v>
      </c>
      <c r="G34" s="390" t="s">
        <v>332</v>
      </c>
      <c r="H34" s="390"/>
      <c r="I34" s="390"/>
      <c r="J34" s="88">
        <v>42614</v>
      </c>
      <c r="K34" s="51">
        <v>42885</v>
      </c>
      <c r="L34" s="400"/>
      <c r="M34" s="401"/>
      <c r="N34" s="389"/>
      <c r="O34" s="403"/>
      <c r="P34" s="362"/>
      <c r="Q34" s="362"/>
      <c r="R34" s="262" t="s">
        <v>325</v>
      </c>
      <c r="S34" s="263" t="s">
        <v>409</v>
      </c>
      <c r="T34" s="389"/>
      <c r="U34" s="403"/>
      <c r="V34" s="278">
        <v>8.0000000000000002E-3</v>
      </c>
      <c r="W34" s="390"/>
      <c r="X34" s="193"/>
    </row>
    <row r="35" spans="2:24" s="91" customFormat="1" ht="119.25" customHeight="1" x14ac:dyDescent="0.2">
      <c r="B35" s="168">
        <v>14</v>
      </c>
      <c r="C35" s="361"/>
      <c r="D35" s="361"/>
      <c r="E35" s="361"/>
      <c r="F35" s="259">
        <v>7.0000000000000001E-3</v>
      </c>
      <c r="G35" s="361" t="s">
        <v>333</v>
      </c>
      <c r="H35" s="361"/>
      <c r="I35" s="361"/>
      <c r="J35" s="88">
        <v>42705</v>
      </c>
      <c r="K35" s="51">
        <v>42885</v>
      </c>
      <c r="L35" s="400"/>
      <c r="M35" s="401"/>
      <c r="N35" s="389"/>
      <c r="O35" s="403"/>
      <c r="P35" s="362"/>
      <c r="Q35" s="362"/>
      <c r="R35" s="262" t="s">
        <v>325</v>
      </c>
      <c r="S35" s="263" t="s">
        <v>410</v>
      </c>
      <c r="T35" s="389"/>
      <c r="U35" s="403"/>
      <c r="V35" s="278">
        <v>7.0000000000000001E-3</v>
      </c>
      <c r="W35" s="390"/>
      <c r="X35" s="193"/>
    </row>
    <row r="36" spans="2:24" s="91" customFormat="1" ht="102" customHeight="1" x14ac:dyDescent="0.2">
      <c r="B36" s="168">
        <v>15</v>
      </c>
      <c r="C36" s="361"/>
      <c r="D36" s="361"/>
      <c r="E36" s="361"/>
      <c r="F36" s="259">
        <v>6.0000000000000001E-3</v>
      </c>
      <c r="G36" s="361" t="s">
        <v>334</v>
      </c>
      <c r="H36" s="361"/>
      <c r="I36" s="361"/>
      <c r="J36" s="88">
        <v>42826</v>
      </c>
      <c r="K36" s="51">
        <v>42916</v>
      </c>
      <c r="L36" s="400"/>
      <c r="M36" s="401"/>
      <c r="N36" s="389"/>
      <c r="O36" s="403"/>
      <c r="P36" s="362"/>
      <c r="Q36" s="362"/>
      <c r="R36" s="262" t="s">
        <v>325</v>
      </c>
      <c r="S36" s="263" t="s">
        <v>411</v>
      </c>
      <c r="T36" s="389"/>
      <c r="U36" s="403"/>
      <c r="V36" s="278">
        <v>6.0000000000000001E-3</v>
      </c>
      <c r="W36" s="390"/>
      <c r="X36" s="193"/>
    </row>
    <row r="37" spans="2:24" s="91" customFormat="1" ht="103.5" customHeight="1" x14ac:dyDescent="0.2">
      <c r="B37" s="168">
        <v>16</v>
      </c>
      <c r="C37" s="361"/>
      <c r="D37" s="361"/>
      <c r="E37" s="361"/>
      <c r="F37" s="259">
        <v>6.0000000000000001E-3</v>
      </c>
      <c r="G37" s="361" t="s">
        <v>335</v>
      </c>
      <c r="H37" s="361"/>
      <c r="I37" s="361"/>
      <c r="J37" s="88">
        <v>42826</v>
      </c>
      <c r="K37" s="51">
        <v>42916</v>
      </c>
      <c r="L37" s="400"/>
      <c r="M37" s="401"/>
      <c r="N37" s="389"/>
      <c r="O37" s="403"/>
      <c r="P37" s="362"/>
      <c r="Q37" s="362"/>
      <c r="R37" s="262" t="s">
        <v>325</v>
      </c>
      <c r="S37" s="263" t="s">
        <v>412</v>
      </c>
      <c r="T37" s="389"/>
      <c r="U37" s="403"/>
      <c r="V37" s="278">
        <v>6.0000000000000001E-3</v>
      </c>
      <c r="W37" s="390"/>
      <c r="X37" s="193"/>
    </row>
    <row r="38" spans="2:24" s="91" customFormat="1" ht="104.25" customHeight="1" x14ac:dyDescent="0.2">
      <c r="B38" s="168">
        <v>17</v>
      </c>
      <c r="C38" s="361"/>
      <c r="D38" s="361"/>
      <c r="E38" s="361"/>
      <c r="F38" s="259">
        <v>6.0000000000000001E-3</v>
      </c>
      <c r="G38" s="361" t="s">
        <v>336</v>
      </c>
      <c r="H38" s="361"/>
      <c r="I38" s="361"/>
      <c r="J38" s="88">
        <v>42826</v>
      </c>
      <c r="K38" s="51">
        <v>42916</v>
      </c>
      <c r="L38" s="400"/>
      <c r="M38" s="401"/>
      <c r="N38" s="389"/>
      <c r="O38" s="403"/>
      <c r="P38" s="362"/>
      <c r="Q38" s="362"/>
      <c r="R38" s="262" t="s">
        <v>325</v>
      </c>
      <c r="S38" s="263" t="s">
        <v>413</v>
      </c>
      <c r="T38" s="389"/>
      <c r="U38" s="403"/>
      <c r="V38" s="278">
        <v>6.0000000000000001E-3</v>
      </c>
      <c r="W38" s="172"/>
      <c r="X38" s="193"/>
    </row>
    <row r="39" spans="2:24" s="91" customFormat="1" ht="233.25" customHeight="1" x14ac:dyDescent="0.2">
      <c r="B39" s="168">
        <v>18</v>
      </c>
      <c r="C39" s="361"/>
      <c r="D39" s="361"/>
      <c r="E39" s="361"/>
      <c r="F39" s="259">
        <v>1.2999999999999999E-2</v>
      </c>
      <c r="G39" s="361" t="s">
        <v>133</v>
      </c>
      <c r="H39" s="361"/>
      <c r="I39" s="361"/>
      <c r="J39" s="88">
        <v>42705</v>
      </c>
      <c r="K39" s="51">
        <v>42946</v>
      </c>
      <c r="L39" s="194" t="s">
        <v>226</v>
      </c>
      <c r="M39" s="183" t="s">
        <v>133</v>
      </c>
      <c r="N39" s="389"/>
      <c r="O39" s="404"/>
      <c r="P39" s="362"/>
      <c r="Q39" s="362"/>
      <c r="R39" s="262" t="s">
        <v>324</v>
      </c>
      <c r="S39" s="263" t="s">
        <v>452</v>
      </c>
      <c r="T39" s="389"/>
      <c r="U39" s="404"/>
      <c r="V39" s="278">
        <v>1.0999999999999999E-2</v>
      </c>
      <c r="W39" s="172"/>
      <c r="X39" s="193"/>
    </row>
    <row r="40" spans="2:24" s="91" customFormat="1" ht="86.25" customHeight="1" x14ac:dyDescent="0.2">
      <c r="B40" s="168">
        <v>19</v>
      </c>
      <c r="C40" s="361"/>
      <c r="D40" s="361"/>
      <c r="E40" s="361"/>
      <c r="F40" s="198">
        <v>4.0000000000000001E-3</v>
      </c>
      <c r="G40" s="390" t="s">
        <v>307</v>
      </c>
      <c r="H40" s="390"/>
      <c r="I40" s="390"/>
      <c r="J40" s="88">
        <v>42826</v>
      </c>
      <c r="K40" s="51">
        <v>43100</v>
      </c>
      <c r="L40" s="194"/>
      <c r="M40" s="183"/>
      <c r="N40" s="82">
        <f>40000000</f>
        <v>40000000</v>
      </c>
      <c r="O40" s="82"/>
      <c r="P40" s="362" t="s">
        <v>259</v>
      </c>
      <c r="Q40" s="362"/>
      <c r="R40" s="262" t="s">
        <v>324</v>
      </c>
      <c r="S40" s="263" t="s">
        <v>453</v>
      </c>
      <c r="T40" s="280">
        <v>40000000</v>
      </c>
      <c r="U40" s="280"/>
      <c r="V40" s="278">
        <v>2E-3</v>
      </c>
      <c r="W40" s="172"/>
      <c r="X40" s="179"/>
    </row>
    <row r="41" spans="2:24" s="91" customFormat="1" ht="119.25" customHeight="1" x14ac:dyDescent="0.2">
      <c r="B41" s="168">
        <v>20</v>
      </c>
      <c r="C41" s="361" t="s">
        <v>228</v>
      </c>
      <c r="D41" s="361"/>
      <c r="E41" s="361"/>
      <c r="F41" s="259">
        <v>5.0000000000000001E-3</v>
      </c>
      <c r="G41" s="361" t="s">
        <v>229</v>
      </c>
      <c r="H41" s="361"/>
      <c r="I41" s="361"/>
      <c r="J41" s="51">
        <v>42800</v>
      </c>
      <c r="K41" s="51">
        <v>42983</v>
      </c>
      <c r="L41" s="194" t="s">
        <v>230</v>
      </c>
      <c r="M41" s="183" t="s">
        <v>231</v>
      </c>
      <c r="N41" s="81"/>
      <c r="O41" s="81">
        <f>52644000+26322000</f>
        <v>78966000</v>
      </c>
      <c r="P41" s="362" t="s">
        <v>170</v>
      </c>
      <c r="Q41" s="362"/>
      <c r="R41" s="251" t="s">
        <v>325</v>
      </c>
      <c r="S41" s="281" t="s">
        <v>414</v>
      </c>
      <c r="T41" s="266"/>
      <c r="U41" s="266">
        <v>78966000</v>
      </c>
      <c r="V41" s="282">
        <v>5.0000000000000001E-3</v>
      </c>
      <c r="W41" s="172"/>
      <c r="X41" s="179"/>
    </row>
    <row r="42" spans="2:24" s="99" customFormat="1" ht="251.25" customHeight="1" x14ac:dyDescent="0.2">
      <c r="B42" s="174">
        <v>21</v>
      </c>
      <c r="C42" s="348" t="s">
        <v>265</v>
      </c>
      <c r="D42" s="348"/>
      <c r="E42" s="348"/>
      <c r="F42" s="260">
        <v>0.02</v>
      </c>
      <c r="G42" s="348" t="s">
        <v>263</v>
      </c>
      <c r="H42" s="348"/>
      <c r="I42" s="348"/>
      <c r="J42" s="261">
        <v>42826</v>
      </c>
      <c r="K42" s="261">
        <v>43100</v>
      </c>
      <c r="L42" s="410" t="s">
        <v>148</v>
      </c>
      <c r="M42" s="399" t="s">
        <v>207</v>
      </c>
      <c r="N42" s="81">
        <f>48150000</f>
        <v>48150000</v>
      </c>
      <c r="O42" s="272">
        <f>620003947+82449150</f>
        <v>702453097</v>
      </c>
      <c r="P42" s="362" t="s">
        <v>373</v>
      </c>
      <c r="Q42" s="362"/>
      <c r="R42" s="262" t="s">
        <v>324</v>
      </c>
      <c r="S42" s="263" t="s">
        <v>454</v>
      </c>
      <c r="T42" s="272">
        <v>48150000</v>
      </c>
      <c r="U42" s="272">
        <f>620003947+82449150</f>
        <v>702453097</v>
      </c>
      <c r="V42" s="278">
        <v>1.2999999999999999E-2</v>
      </c>
      <c r="W42" s="264"/>
      <c r="X42" s="97"/>
    </row>
    <row r="43" spans="2:24" s="91" customFormat="1" ht="151.5" customHeight="1" x14ac:dyDescent="0.2">
      <c r="B43" s="168">
        <v>22</v>
      </c>
      <c r="C43" s="348"/>
      <c r="D43" s="348"/>
      <c r="E43" s="348"/>
      <c r="F43" s="259">
        <v>0.01</v>
      </c>
      <c r="G43" s="361" t="s">
        <v>264</v>
      </c>
      <c r="H43" s="361"/>
      <c r="I43" s="361"/>
      <c r="J43" s="51">
        <v>42826</v>
      </c>
      <c r="K43" s="51">
        <v>43100</v>
      </c>
      <c r="L43" s="410"/>
      <c r="M43" s="399"/>
      <c r="N43" s="81">
        <v>502287333</v>
      </c>
      <c r="O43" s="81">
        <f>103400000+70620000+55319000+65206050</f>
        <v>294545050</v>
      </c>
      <c r="P43" s="362" t="s">
        <v>370</v>
      </c>
      <c r="Q43" s="362"/>
      <c r="R43" s="262" t="s">
        <v>324</v>
      </c>
      <c r="S43" s="263" t="s">
        <v>455</v>
      </c>
      <c r="T43" s="272">
        <v>501974725</v>
      </c>
      <c r="U43" s="272">
        <f>103400000+70620000+55319000+65206050</f>
        <v>294545050</v>
      </c>
      <c r="V43" s="267">
        <v>6.0000000000000001E-3</v>
      </c>
      <c r="W43" s="172"/>
      <c r="X43" s="173"/>
    </row>
    <row r="44" spans="2:24" s="99" customFormat="1" ht="84" customHeight="1" x14ac:dyDescent="0.2">
      <c r="B44" s="174">
        <v>23</v>
      </c>
      <c r="C44" s="348"/>
      <c r="D44" s="348"/>
      <c r="E44" s="348"/>
      <c r="F44" s="260">
        <f>1.5%+1%</f>
        <v>2.5000000000000001E-2</v>
      </c>
      <c r="G44" s="348" t="s">
        <v>157</v>
      </c>
      <c r="H44" s="348"/>
      <c r="I44" s="348"/>
      <c r="J44" s="261">
        <v>42856</v>
      </c>
      <c r="K44" s="261">
        <v>43132</v>
      </c>
      <c r="L44" s="410"/>
      <c r="M44" s="399"/>
      <c r="N44" s="265"/>
      <c r="O44" s="81">
        <v>250000000</v>
      </c>
      <c r="P44" s="362" t="s">
        <v>372</v>
      </c>
      <c r="Q44" s="362"/>
      <c r="R44" s="262" t="s">
        <v>324</v>
      </c>
      <c r="S44" s="263" t="s">
        <v>374</v>
      </c>
      <c r="T44" s="275"/>
      <c r="U44" s="266"/>
      <c r="V44" s="267">
        <v>5.0000000000000001E-4</v>
      </c>
      <c r="W44" s="264"/>
      <c r="X44" s="97"/>
    </row>
    <row r="45" spans="2:24" s="99" customFormat="1" ht="291.75" customHeight="1" x14ac:dyDescent="0.2">
      <c r="B45" s="174">
        <v>24</v>
      </c>
      <c r="C45" s="348"/>
      <c r="D45" s="348"/>
      <c r="E45" s="348"/>
      <c r="F45" s="268">
        <v>1.4999999999999999E-2</v>
      </c>
      <c r="G45" s="348" t="s">
        <v>345</v>
      </c>
      <c r="H45" s="348"/>
      <c r="I45" s="348"/>
      <c r="J45" s="261">
        <v>42856</v>
      </c>
      <c r="K45" s="261">
        <v>43132</v>
      </c>
      <c r="L45" s="410"/>
      <c r="M45" s="399"/>
      <c r="N45" s="81">
        <f>477000000+57000000</f>
        <v>534000000</v>
      </c>
      <c r="O45" s="81"/>
      <c r="P45" s="362" t="s">
        <v>372</v>
      </c>
      <c r="Q45" s="362"/>
      <c r="R45" s="262" t="s">
        <v>324</v>
      </c>
      <c r="S45" s="263" t="s">
        <v>456</v>
      </c>
      <c r="T45" s="272">
        <f>476961099+56657994</f>
        <v>533619093</v>
      </c>
      <c r="U45" s="266"/>
      <c r="V45" s="267">
        <v>7.0000000000000001E-3</v>
      </c>
      <c r="W45" s="264"/>
      <c r="X45" s="97"/>
    </row>
    <row r="46" spans="2:24" s="99" customFormat="1" ht="79.5" customHeight="1" x14ac:dyDescent="0.2">
      <c r="B46" s="174">
        <v>25</v>
      </c>
      <c r="C46" s="348"/>
      <c r="D46" s="348"/>
      <c r="E46" s="348"/>
      <c r="F46" s="268">
        <v>1.4999999999999999E-2</v>
      </c>
      <c r="G46" s="348" t="s">
        <v>174</v>
      </c>
      <c r="H46" s="348"/>
      <c r="I46" s="348"/>
      <c r="J46" s="269">
        <v>42917</v>
      </c>
      <c r="K46" s="269">
        <v>43160</v>
      </c>
      <c r="L46" s="410"/>
      <c r="M46" s="399"/>
      <c r="N46" s="81"/>
      <c r="O46" s="81">
        <v>53137050</v>
      </c>
      <c r="P46" s="362" t="s">
        <v>266</v>
      </c>
      <c r="Q46" s="362"/>
      <c r="R46" s="262" t="s">
        <v>324</v>
      </c>
      <c r="S46" s="270" t="s">
        <v>328</v>
      </c>
      <c r="T46" s="266"/>
      <c r="U46" s="266"/>
      <c r="V46" s="267">
        <v>0</v>
      </c>
      <c r="W46" s="264"/>
      <c r="X46" s="97"/>
    </row>
    <row r="47" spans="2:24" s="91" customFormat="1" ht="174.75" customHeight="1" x14ac:dyDescent="0.2">
      <c r="B47" s="168">
        <v>27</v>
      </c>
      <c r="C47" s="348"/>
      <c r="D47" s="348"/>
      <c r="E47" s="348"/>
      <c r="F47" s="55">
        <v>5.0000000000000001E-3</v>
      </c>
      <c r="G47" s="361" t="s">
        <v>313</v>
      </c>
      <c r="H47" s="361"/>
      <c r="I47" s="361"/>
      <c r="J47" s="197">
        <v>42817</v>
      </c>
      <c r="K47" s="197">
        <v>43100</v>
      </c>
      <c r="L47" s="194"/>
      <c r="M47" s="183"/>
      <c r="N47" s="81"/>
      <c r="O47" s="81">
        <v>100000000</v>
      </c>
      <c r="P47" s="362" t="s">
        <v>314</v>
      </c>
      <c r="Q47" s="362"/>
      <c r="R47" s="262" t="s">
        <v>324</v>
      </c>
      <c r="S47" s="263" t="s">
        <v>457</v>
      </c>
      <c r="T47" s="283"/>
      <c r="U47" s="81">
        <v>100000000</v>
      </c>
      <c r="V47" s="267">
        <v>3.0000000000000001E-3</v>
      </c>
      <c r="W47" s="172"/>
      <c r="X47" s="173"/>
    </row>
    <row r="48" spans="2:24" s="91" customFormat="1" ht="183.75" customHeight="1" x14ac:dyDescent="0.2">
      <c r="B48" s="168">
        <v>28</v>
      </c>
      <c r="C48" s="361" t="s">
        <v>276</v>
      </c>
      <c r="D48" s="361"/>
      <c r="E48" s="361"/>
      <c r="F48" s="55">
        <v>8.0000000000000002E-3</v>
      </c>
      <c r="G48" s="361" t="s">
        <v>152</v>
      </c>
      <c r="H48" s="361"/>
      <c r="I48" s="361"/>
      <c r="J48" s="51">
        <v>42840</v>
      </c>
      <c r="K48" s="51">
        <v>43100</v>
      </c>
      <c r="L48" s="182" t="s">
        <v>277</v>
      </c>
      <c r="M48" s="183" t="s">
        <v>278</v>
      </c>
      <c r="N48" s="44"/>
      <c r="O48" s="82"/>
      <c r="P48" s="362" t="s">
        <v>279</v>
      </c>
      <c r="Q48" s="362"/>
      <c r="R48" s="262" t="s">
        <v>324</v>
      </c>
      <c r="S48" s="263" t="s">
        <v>366</v>
      </c>
      <c r="T48" s="284"/>
      <c r="U48" s="284"/>
      <c r="V48" s="285">
        <v>4.0000000000000001E-3</v>
      </c>
      <c r="W48" s="172" t="s">
        <v>367</v>
      </c>
      <c r="X48" s="173"/>
    </row>
    <row r="49" spans="2:28" s="91" customFormat="1" ht="110.25" customHeight="1" x14ac:dyDescent="0.2">
      <c r="B49" s="168">
        <v>29</v>
      </c>
      <c r="C49" s="361" t="s">
        <v>273</v>
      </c>
      <c r="D49" s="361"/>
      <c r="E49" s="361"/>
      <c r="F49" s="55">
        <v>1.4999999999999999E-2</v>
      </c>
      <c r="G49" s="361" t="s">
        <v>376</v>
      </c>
      <c r="H49" s="361"/>
      <c r="I49" s="361"/>
      <c r="J49" s="197">
        <v>42811</v>
      </c>
      <c r="K49" s="197">
        <v>43100</v>
      </c>
      <c r="L49" s="180" t="s">
        <v>275</v>
      </c>
      <c r="M49" s="169" t="s">
        <v>274</v>
      </c>
      <c r="N49" s="44">
        <v>9000000</v>
      </c>
      <c r="O49" s="81"/>
      <c r="P49" s="362" t="s">
        <v>343</v>
      </c>
      <c r="Q49" s="362"/>
      <c r="R49" s="262" t="s">
        <v>324</v>
      </c>
      <c r="S49" s="263" t="s">
        <v>458</v>
      </c>
      <c r="T49" s="81">
        <v>9000000</v>
      </c>
      <c r="U49" s="283"/>
      <c r="V49" s="267">
        <v>7.0000000000000001E-3</v>
      </c>
      <c r="W49" s="172"/>
      <c r="X49" s="173"/>
    </row>
    <row r="50" spans="2:28" s="91" customFormat="1" ht="73.5" customHeight="1" x14ac:dyDescent="0.2">
      <c r="B50" s="168">
        <v>30</v>
      </c>
      <c r="C50" s="361" t="s">
        <v>184</v>
      </c>
      <c r="D50" s="361"/>
      <c r="E50" s="361"/>
      <c r="F50" s="55">
        <v>8.0000000000000002E-3</v>
      </c>
      <c r="G50" s="361" t="s">
        <v>159</v>
      </c>
      <c r="H50" s="361"/>
      <c r="I50" s="361"/>
      <c r="J50" s="197">
        <v>42840</v>
      </c>
      <c r="K50" s="197">
        <v>43100</v>
      </c>
      <c r="L50" s="390" t="s">
        <v>291</v>
      </c>
      <c r="M50" s="391" t="s">
        <v>290</v>
      </c>
      <c r="N50" s="35"/>
      <c r="O50" s="81"/>
      <c r="P50" s="362" t="s">
        <v>292</v>
      </c>
      <c r="Q50" s="362"/>
      <c r="R50" s="257" t="s">
        <v>326</v>
      </c>
      <c r="S50" s="263" t="s">
        <v>459</v>
      </c>
      <c r="T50" s="284"/>
      <c r="U50" s="284"/>
      <c r="V50" s="279">
        <v>7.0000000000000001E-3</v>
      </c>
      <c r="W50" s="172"/>
      <c r="X50" s="173"/>
    </row>
    <row r="51" spans="2:28" s="91" customFormat="1" ht="156" customHeight="1" x14ac:dyDescent="0.2">
      <c r="B51" s="168">
        <v>31</v>
      </c>
      <c r="C51" s="361"/>
      <c r="D51" s="361"/>
      <c r="E51" s="361"/>
      <c r="F51" s="55">
        <v>5.0000000000000001E-3</v>
      </c>
      <c r="G51" s="361" t="s">
        <v>158</v>
      </c>
      <c r="H51" s="361"/>
      <c r="I51" s="361"/>
      <c r="J51" s="197">
        <v>42917</v>
      </c>
      <c r="K51" s="197">
        <v>43100</v>
      </c>
      <c r="L51" s="390"/>
      <c r="M51" s="391"/>
      <c r="N51" s="35"/>
      <c r="O51" s="81"/>
      <c r="P51" s="362" t="s">
        <v>205</v>
      </c>
      <c r="Q51" s="362"/>
      <c r="R51" s="257" t="s">
        <v>326</v>
      </c>
      <c r="S51" s="263" t="s">
        <v>418</v>
      </c>
      <c r="T51" s="283"/>
      <c r="U51" s="283"/>
      <c r="V51" s="267">
        <v>4.4999999999999997E-3</v>
      </c>
      <c r="W51" s="172"/>
      <c r="X51" s="179"/>
    </row>
    <row r="52" spans="2:28" s="91" customFormat="1" ht="73.5" customHeight="1" x14ac:dyDescent="0.2">
      <c r="B52" s="168">
        <v>32</v>
      </c>
      <c r="C52" s="393" t="s">
        <v>294</v>
      </c>
      <c r="D52" s="393"/>
      <c r="E52" s="393"/>
      <c r="F52" s="55">
        <v>8.0000000000000002E-3</v>
      </c>
      <c r="G52" s="361" t="s">
        <v>183</v>
      </c>
      <c r="H52" s="361"/>
      <c r="I52" s="361"/>
      <c r="J52" s="197">
        <v>42840</v>
      </c>
      <c r="K52" s="197">
        <v>43100</v>
      </c>
      <c r="L52" s="390" t="s">
        <v>295</v>
      </c>
      <c r="M52" s="391" t="s">
        <v>296</v>
      </c>
      <c r="N52" s="35"/>
      <c r="O52" s="81"/>
      <c r="P52" s="348" t="s">
        <v>462</v>
      </c>
      <c r="Q52" s="348"/>
      <c r="R52" s="257" t="s">
        <v>325</v>
      </c>
      <c r="S52" s="263" t="s">
        <v>461</v>
      </c>
      <c r="T52" s="284"/>
      <c r="U52" s="284"/>
      <c r="V52" s="279">
        <f>0.008*0.85</f>
        <v>6.7999999999999996E-3</v>
      </c>
      <c r="W52" s="172"/>
      <c r="X52" s="173"/>
    </row>
    <row r="53" spans="2:28" s="91" customFormat="1" ht="111" customHeight="1" x14ac:dyDescent="0.2">
      <c r="B53" s="168">
        <v>33</v>
      </c>
      <c r="C53" s="393"/>
      <c r="D53" s="393"/>
      <c r="E53" s="393"/>
      <c r="F53" s="55">
        <v>8.0000000000000002E-3</v>
      </c>
      <c r="G53" s="361" t="s">
        <v>293</v>
      </c>
      <c r="H53" s="361"/>
      <c r="I53" s="361"/>
      <c r="J53" s="197">
        <v>42840</v>
      </c>
      <c r="K53" s="197">
        <v>43100</v>
      </c>
      <c r="L53" s="390"/>
      <c r="M53" s="391"/>
      <c r="N53" s="35"/>
      <c r="O53" s="81"/>
      <c r="P53" s="348" t="s">
        <v>342</v>
      </c>
      <c r="Q53" s="348"/>
      <c r="R53" s="257" t="s">
        <v>325</v>
      </c>
      <c r="S53" s="263" t="s">
        <v>463</v>
      </c>
      <c r="T53" s="284"/>
      <c r="U53" s="284"/>
      <c r="V53" s="279">
        <v>7.0000000000000001E-3</v>
      </c>
      <c r="W53" s="172"/>
      <c r="X53" s="173"/>
    </row>
    <row r="54" spans="2:28" s="91" customFormat="1" ht="94.5" customHeight="1" x14ac:dyDescent="0.2">
      <c r="B54" s="168">
        <v>34</v>
      </c>
      <c r="C54" s="361" t="s">
        <v>298</v>
      </c>
      <c r="D54" s="361"/>
      <c r="E54" s="361"/>
      <c r="F54" s="55">
        <v>8.0000000000000002E-3</v>
      </c>
      <c r="G54" s="361" t="s">
        <v>352</v>
      </c>
      <c r="H54" s="361"/>
      <c r="I54" s="361"/>
      <c r="J54" s="197">
        <v>42856</v>
      </c>
      <c r="K54" s="197">
        <v>43100</v>
      </c>
      <c r="L54" s="390" t="s">
        <v>354</v>
      </c>
      <c r="M54" s="391" t="s">
        <v>300</v>
      </c>
      <c r="N54" s="356">
        <f>53200000</f>
        <v>53200000</v>
      </c>
      <c r="O54" s="389"/>
      <c r="P54" s="348" t="s">
        <v>368</v>
      </c>
      <c r="Q54" s="348"/>
      <c r="R54" s="257" t="s">
        <v>324</v>
      </c>
      <c r="S54" s="263" t="s">
        <v>415</v>
      </c>
      <c r="T54" s="402">
        <v>53200000</v>
      </c>
      <c r="U54" s="503"/>
      <c r="V54" s="279">
        <f>0.008*0.85</f>
        <v>6.7999999999999996E-3</v>
      </c>
      <c r="W54" s="172"/>
      <c r="X54" s="397"/>
      <c r="Y54" s="199"/>
    </row>
    <row r="55" spans="2:28" s="91" customFormat="1" ht="96" customHeight="1" x14ac:dyDescent="0.2">
      <c r="B55" s="168">
        <v>35</v>
      </c>
      <c r="C55" s="361"/>
      <c r="D55" s="361"/>
      <c r="E55" s="361"/>
      <c r="F55" s="55">
        <v>8.0000000000000002E-3</v>
      </c>
      <c r="G55" s="361" t="s">
        <v>353</v>
      </c>
      <c r="H55" s="361"/>
      <c r="I55" s="361"/>
      <c r="J55" s="197">
        <v>42856</v>
      </c>
      <c r="K55" s="197">
        <v>43100</v>
      </c>
      <c r="L55" s="390"/>
      <c r="M55" s="391"/>
      <c r="N55" s="356"/>
      <c r="O55" s="389"/>
      <c r="P55" s="348"/>
      <c r="Q55" s="348"/>
      <c r="R55" s="257" t="s">
        <v>324</v>
      </c>
      <c r="S55" s="263" t="s">
        <v>460</v>
      </c>
      <c r="T55" s="404"/>
      <c r="U55" s="504"/>
      <c r="V55" s="279">
        <f>0.008*0.85</f>
        <v>6.7999999999999996E-3</v>
      </c>
      <c r="W55" s="172"/>
      <c r="X55" s="397"/>
      <c r="Y55" s="200"/>
    </row>
    <row r="56" spans="2:28" s="91" customFormat="1" ht="109.5" customHeight="1" x14ac:dyDescent="0.2">
      <c r="B56" s="168">
        <v>36</v>
      </c>
      <c r="C56" s="361" t="s">
        <v>201</v>
      </c>
      <c r="D56" s="361"/>
      <c r="E56" s="361"/>
      <c r="F56" s="55">
        <v>0.02</v>
      </c>
      <c r="G56" s="361" t="s">
        <v>162</v>
      </c>
      <c r="H56" s="361"/>
      <c r="I56" s="361"/>
      <c r="J56" s="197">
        <v>42762</v>
      </c>
      <c r="K56" s="197">
        <v>43100</v>
      </c>
      <c r="L56" s="390" t="s">
        <v>404</v>
      </c>
      <c r="M56" s="391"/>
      <c r="N56" s="286">
        <f>60990000*2+68266000+4001800</f>
        <v>194247800</v>
      </c>
      <c r="O56" s="81"/>
      <c r="P56" s="362" t="s">
        <v>206</v>
      </c>
      <c r="Q56" s="362"/>
      <c r="R56" s="262" t="s">
        <v>324</v>
      </c>
      <c r="S56" s="263" t="s">
        <v>464</v>
      </c>
      <c r="T56" s="272">
        <f>60990000*2+68266000+4001800</f>
        <v>194247800</v>
      </c>
      <c r="U56" s="283"/>
      <c r="V56" s="278">
        <f>2%*39/40</f>
        <v>1.95E-2</v>
      </c>
      <c r="W56" s="172"/>
      <c r="X56" s="201"/>
    </row>
    <row r="57" spans="2:28" s="91" customFormat="1" ht="237.75" customHeight="1" x14ac:dyDescent="0.2">
      <c r="B57" s="168">
        <v>37</v>
      </c>
      <c r="C57" s="361" t="s">
        <v>202</v>
      </c>
      <c r="D57" s="361"/>
      <c r="E57" s="361"/>
      <c r="F57" s="55">
        <v>0.02</v>
      </c>
      <c r="G57" s="361" t="s">
        <v>161</v>
      </c>
      <c r="H57" s="361"/>
      <c r="I57" s="361"/>
      <c r="J57" s="197">
        <v>42814</v>
      </c>
      <c r="K57" s="197">
        <v>43100</v>
      </c>
      <c r="L57" s="390"/>
      <c r="M57" s="391"/>
      <c r="N57" s="286">
        <f>23301390+19260000+40339000+25680000</f>
        <v>108580390</v>
      </c>
      <c r="O57" s="81"/>
      <c r="P57" s="362" t="s">
        <v>357</v>
      </c>
      <c r="Q57" s="362"/>
      <c r="R57" s="262" t="s">
        <v>324</v>
      </c>
      <c r="S57" s="263" t="s">
        <v>465</v>
      </c>
      <c r="T57" s="272">
        <f>23301390+19260000+40339000+25680000</f>
        <v>108580390</v>
      </c>
      <c r="U57" s="287"/>
      <c r="V57" s="278">
        <f>2%*11/12</f>
        <v>1.8333333333333333E-2</v>
      </c>
      <c r="W57" s="172"/>
      <c r="X57" s="179"/>
    </row>
    <row r="58" spans="2:28" s="91" customFormat="1" ht="246" customHeight="1" x14ac:dyDescent="0.2">
      <c r="B58" s="168">
        <v>38</v>
      </c>
      <c r="C58" s="361" t="s">
        <v>203</v>
      </c>
      <c r="D58" s="361"/>
      <c r="E58" s="361"/>
      <c r="F58" s="55">
        <v>2.5000000000000001E-2</v>
      </c>
      <c r="G58" s="361" t="s">
        <v>160</v>
      </c>
      <c r="H58" s="361"/>
      <c r="I58" s="361"/>
      <c r="J58" s="197">
        <v>42809</v>
      </c>
      <c r="K58" s="197">
        <v>43100</v>
      </c>
      <c r="L58" s="390"/>
      <c r="M58" s="391"/>
      <c r="N58" s="288">
        <f>58957000+50825000+38555667+25145000+20330000+18865467+17833333+65094083+10058000</f>
        <v>305663550</v>
      </c>
      <c r="O58" s="44">
        <v>522111167</v>
      </c>
      <c r="P58" s="392" t="s">
        <v>405</v>
      </c>
      <c r="Q58" s="392"/>
      <c r="R58" s="262" t="s">
        <v>325</v>
      </c>
      <c r="S58" s="263" t="s">
        <v>417</v>
      </c>
      <c r="T58" s="272">
        <f>58957000+50825000+38555667+25145000+17833333+12483333+65094083+10058000</f>
        <v>278951416</v>
      </c>
      <c r="U58" s="272">
        <v>494713333</v>
      </c>
      <c r="V58" s="278">
        <f>2.5%*60/60</f>
        <v>2.5000000000000001E-2</v>
      </c>
      <c r="W58" s="202"/>
      <c r="X58" s="179"/>
    </row>
    <row r="59" spans="2:28" s="91" customFormat="1" ht="237" customHeight="1" x14ac:dyDescent="0.2">
      <c r="B59" s="168">
        <v>39</v>
      </c>
      <c r="C59" s="361" t="s">
        <v>185</v>
      </c>
      <c r="D59" s="361"/>
      <c r="E59" s="361"/>
      <c r="F59" s="55">
        <v>1.4999999999999999E-2</v>
      </c>
      <c r="G59" s="361" t="s">
        <v>339</v>
      </c>
      <c r="H59" s="361"/>
      <c r="I59" s="361"/>
      <c r="J59" s="51">
        <v>42793</v>
      </c>
      <c r="K59" s="51">
        <v>43100</v>
      </c>
      <c r="L59" s="194"/>
      <c r="M59" s="183"/>
      <c r="N59" s="389"/>
      <c r="O59" s="389"/>
      <c r="P59" s="362" t="s">
        <v>315</v>
      </c>
      <c r="Q59" s="362"/>
      <c r="R59" s="262" t="s">
        <v>325</v>
      </c>
      <c r="S59" s="263" t="s">
        <v>466</v>
      </c>
      <c r="T59" s="272"/>
      <c r="U59" s="283"/>
      <c r="V59" s="268">
        <v>1.4999999999999999E-2</v>
      </c>
      <c r="W59" s="172"/>
      <c r="X59" s="179"/>
    </row>
    <row r="60" spans="2:28" s="91" customFormat="1" ht="136.5" customHeight="1" x14ac:dyDescent="0.2">
      <c r="B60" s="168">
        <v>40</v>
      </c>
      <c r="C60" s="361"/>
      <c r="D60" s="361"/>
      <c r="E60" s="361"/>
      <c r="F60" s="55">
        <v>5.0000000000000001E-3</v>
      </c>
      <c r="G60" s="361" t="s">
        <v>154</v>
      </c>
      <c r="H60" s="361"/>
      <c r="I60" s="361"/>
      <c r="J60" s="51">
        <v>42793</v>
      </c>
      <c r="K60" s="51">
        <v>43100</v>
      </c>
      <c r="L60" s="194"/>
      <c r="M60" s="183"/>
      <c r="N60" s="389"/>
      <c r="O60" s="389"/>
      <c r="P60" s="362"/>
      <c r="Q60" s="362"/>
      <c r="R60" s="262" t="s">
        <v>325</v>
      </c>
      <c r="S60" s="263" t="s">
        <v>440</v>
      </c>
      <c r="T60" s="272"/>
      <c r="U60" s="283"/>
      <c r="V60" s="268">
        <v>5.0000000000000001E-3</v>
      </c>
      <c r="W60" s="172"/>
      <c r="X60" s="179"/>
    </row>
    <row r="61" spans="2:28" s="91" customFormat="1" ht="189.75" customHeight="1" x14ac:dyDescent="0.2">
      <c r="B61" s="168">
        <v>41</v>
      </c>
      <c r="C61" s="361" t="s">
        <v>262</v>
      </c>
      <c r="D61" s="361"/>
      <c r="E61" s="361"/>
      <c r="F61" s="55">
        <v>0.04</v>
      </c>
      <c r="G61" s="361" t="s">
        <v>222</v>
      </c>
      <c r="H61" s="361"/>
      <c r="I61" s="361"/>
      <c r="J61" s="197">
        <v>42736</v>
      </c>
      <c r="K61" s="197">
        <v>43100</v>
      </c>
      <c r="L61" s="180" t="s">
        <v>217</v>
      </c>
      <c r="M61" s="169" t="s">
        <v>218</v>
      </c>
      <c r="N61" s="252">
        <f>48613667+45261000+40959600+26215000+2401080+2675000</f>
        <v>166125347</v>
      </c>
      <c r="O61" s="252"/>
      <c r="P61" s="362" t="s">
        <v>348</v>
      </c>
      <c r="Q61" s="362"/>
      <c r="R61" s="262" t="s">
        <v>325</v>
      </c>
      <c r="S61" s="263" t="s">
        <v>437</v>
      </c>
      <c r="T61" s="252">
        <f>48613667+45261000+40959600+26215000+2675000</f>
        <v>163724267</v>
      </c>
      <c r="U61" s="289"/>
      <c r="V61" s="267">
        <f>4%*3196/3300</f>
        <v>3.8739393939393942E-2</v>
      </c>
      <c r="W61" s="172"/>
      <c r="X61" s="179"/>
    </row>
    <row r="62" spans="2:28" s="91" customFormat="1" ht="225" customHeight="1" x14ac:dyDescent="0.2">
      <c r="B62" s="168">
        <v>42</v>
      </c>
      <c r="C62" s="361"/>
      <c r="D62" s="361"/>
      <c r="E62" s="361"/>
      <c r="F62" s="55">
        <v>0.02</v>
      </c>
      <c r="G62" s="361" t="s">
        <v>186</v>
      </c>
      <c r="H62" s="361"/>
      <c r="I62" s="361"/>
      <c r="J62" s="197">
        <v>42840</v>
      </c>
      <c r="K62" s="197">
        <v>43100</v>
      </c>
      <c r="L62" s="180" t="s">
        <v>216</v>
      </c>
      <c r="M62" s="169" t="s">
        <v>218</v>
      </c>
      <c r="N62" s="252">
        <v>17976000</v>
      </c>
      <c r="O62" s="81"/>
      <c r="P62" s="362" t="s">
        <v>377</v>
      </c>
      <c r="Q62" s="362"/>
      <c r="R62" s="262" t="s">
        <v>324</v>
      </c>
      <c r="S62" s="263" t="s">
        <v>442</v>
      </c>
      <c r="T62" s="290">
        <v>13375000</v>
      </c>
      <c r="U62" s="291"/>
      <c r="V62" s="267">
        <f>2*0.4%</f>
        <v>8.0000000000000002E-3</v>
      </c>
      <c r="W62" s="172"/>
      <c r="X62" s="173"/>
    </row>
    <row r="63" spans="2:28" s="91" customFormat="1" ht="274.5" customHeight="1" x14ac:dyDescent="0.2">
      <c r="B63" s="168">
        <v>43</v>
      </c>
      <c r="C63" s="361" t="s">
        <v>221</v>
      </c>
      <c r="D63" s="361"/>
      <c r="E63" s="361"/>
      <c r="F63" s="183">
        <v>0.03</v>
      </c>
      <c r="G63" s="361" t="s">
        <v>187</v>
      </c>
      <c r="H63" s="361"/>
      <c r="I63" s="361"/>
      <c r="J63" s="197">
        <v>42736</v>
      </c>
      <c r="K63" s="197">
        <v>43100</v>
      </c>
      <c r="L63" s="180" t="s">
        <v>219</v>
      </c>
      <c r="M63" s="169" t="s">
        <v>220</v>
      </c>
      <c r="N63" s="252">
        <v>63745000</v>
      </c>
      <c r="O63" s="81"/>
      <c r="P63" s="362" t="s">
        <v>316</v>
      </c>
      <c r="Q63" s="362"/>
      <c r="R63" s="262" t="s">
        <v>324</v>
      </c>
      <c r="S63" s="263" t="s">
        <v>467</v>
      </c>
      <c r="T63" s="272">
        <v>63745000</v>
      </c>
      <c r="U63" s="291"/>
      <c r="V63" s="267">
        <f>3%*102/120</f>
        <v>2.5500000000000002E-2</v>
      </c>
      <c r="W63" s="172"/>
      <c r="X63" s="173"/>
    </row>
    <row r="64" spans="2:28" s="91" customFormat="1" ht="105" customHeight="1" x14ac:dyDescent="0.2">
      <c r="B64" s="168">
        <v>44</v>
      </c>
      <c r="C64" s="361" t="s">
        <v>204</v>
      </c>
      <c r="D64" s="361"/>
      <c r="E64" s="361"/>
      <c r="F64" s="55">
        <v>4.4999999999999998E-2</v>
      </c>
      <c r="G64" s="361" t="s">
        <v>163</v>
      </c>
      <c r="H64" s="361"/>
      <c r="I64" s="361"/>
      <c r="J64" s="197">
        <v>42736</v>
      </c>
      <c r="K64" s="197">
        <v>43100</v>
      </c>
      <c r="L64" s="180" t="s">
        <v>214</v>
      </c>
      <c r="M64" s="180" t="s">
        <v>213</v>
      </c>
      <c r="N64" s="388">
        <f>57780000*3+44940000+20508333</f>
        <v>238788333</v>
      </c>
      <c r="O64" s="388"/>
      <c r="P64" s="392" t="s">
        <v>344</v>
      </c>
      <c r="Q64" s="392"/>
      <c r="R64" s="262" t="s">
        <v>324</v>
      </c>
      <c r="S64" s="263" t="s">
        <v>419</v>
      </c>
      <c r="T64" s="398">
        <f>57780000*3+44940000+20508333</f>
        <v>238788333</v>
      </c>
      <c r="U64" s="398"/>
      <c r="V64" s="278">
        <f>6.5%*877/900</f>
        <v>6.3338888888888889E-2</v>
      </c>
      <c r="W64" s="172"/>
      <c r="X64" s="179"/>
      <c r="AB64" s="203"/>
    </row>
    <row r="65" spans="2:25" s="91" customFormat="1" ht="105" customHeight="1" x14ac:dyDescent="0.2">
      <c r="B65" s="168">
        <v>45</v>
      </c>
      <c r="C65" s="361"/>
      <c r="D65" s="361"/>
      <c r="E65" s="361"/>
      <c r="F65" s="55">
        <v>0.02</v>
      </c>
      <c r="G65" s="361" t="s">
        <v>164</v>
      </c>
      <c r="H65" s="361"/>
      <c r="I65" s="361"/>
      <c r="J65" s="197">
        <v>42736</v>
      </c>
      <c r="K65" s="197">
        <v>43100</v>
      </c>
      <c r="L65" s="180" t="s">
        <v>211</v>
      </c>
      <c r="M65" s="169" t="s">
        <v>212</v>
      </c>
      <c r="N65" s="388"/>
      <c r="O65" s="388"/>
      <c r="P65" s="392"/>
      <c r="Q65" s="392"/>
      <c r="R65" s="262" t="s">
        <v>324</v>
      </c>
      <c r="S65" s="263" t="s">
        <v>420</v>
      </c>
      <c r="T65" s="398"/>
      <c r="U65" s="398"/>
      <c r="V65" s="278">
        <f>6.5%*257/900</f>
        <v>1.8561111111111112E-2</v>
      </c>
      <c r="W65" s="172"/>
      <c r="X65" s="179"/>
    </row>
    <row r="66" spans="2:25" s="91" customFormat="1" ht="138.75" customHeight="1" x14ac:dyDescent="0.2">
      <c r="B66" s="168">
        <v>46</v>
      </c>
      <c r="C66" s="361" t="s">
        <v>188</v>
      </c>
      <c r="D66" s="361"/>
      <c r="E66" s="361"/>
      <c r="F66" s="55">
        <v>0.01</v>
      </c>
      <c r="G66" s="361" t="s">
        <v>351</v>
      </c>
      <c r="H66" s="361"/>
      <c r="I66" s="361"/>
      <c r="J66" s="197">
        <v>42826</v>
      </c>
      <c r="K66" s="197">
        <v>43100</v>
      </c>
      <c r="L66" s="169"/>
      <c r="M66" s="169"/>
      <c r="N66" s="60"/>
      <c r="O66" s="82">
        <v>500000000</v>
      </c>
      <c r="P66" s="362" t="s">
        <v>369</v>
      </c>
      <c r="Q66" s="362"/>
      <c r="R66" s="262" t="s">
        <v>324</v>
      </c>
      <c r="S66" s="263" t="s">
        <v>416</v>
      </c>
      <c r="T66" s="272">
        <v>0</v>
      </c>
      <c r="U66" s="291">
        <v>261000000</v>
      </c>
      <c r="V66" s="267">
        <f>0.01*0.85</f>
        <v>8.5000000000000006E-3</v>
      </c>
      <c r="W66" s="172"/>
      <c r="X66" s="179"/>
    </row>
    <row r="67" spans="2:25" s="91" customFormat="1" ht="122.25" customHeight="1" x14ac:dyDescent="0.2">
      <c r="B67" s="168">
        <v>47</v>
      </c>
      <c r="C67" s="361" t="s">
        <v>191</v>
      </c>
      <c r="D67" s="361"/>
      <c r="E67" s="361"/>
      <c r="F67" s="55">
        <v>0.09</v>
      </c>
      <c r="G67" s="361" t="s">
        <v>190</v>
      </c>
      <c r="H67" s="361"/>
      <c r="I67" s="361"/>
      <c r="J67" s="197">
        <v>42828</v>
      </c>
      <c r="K67" s="197">
        <v>43086</v>
      </c>
      <c r="L67" s="180" t="s">
        <v>260</v>
      </c>
      <c r="M67" s="169" t="s">
        <v>256</v>
      </c>
      <c r="N67" s="292">
        <f>48150000+55854000+36051867+3930467+206000000</f>
        <v>349986334</v>
      </c>
      <c r="O67" s="82"/>
      <c r="P67" s="362" t="s">
        <v>261</v>
      </c>
      <c r="Q67" s="362"/>
      <c r="R67" s="262" t="s">
        <v>324</v>
      </c>
      <c r="S67" s="263" t="s">
        <v>438</v>
      </c>
      <c r="T67" s="272">
        <f>48150000+55854000+36051867+3930467+187260000</f>
        <v>331246334</v>
      </c>
      <c r="U67" s="291"/>
      <c r="V67" s="267">
        <v>8.8999999999999996E-2</v>
      </c>
      <c r="W67" s="172"/>
      <c r="X67" s="179"/>
      <c r="Y67" s="204"/>
    </row>
    <row r="68" spans="2:25" s="205" customFormat="1" ht="35.25" customHeight="1" x14ac:dyDescent="0.2">
      <c r="B68" s="456" t="s">
        <v>32</v>
      </c>
      <c r="C68" s="456"/>
      <c r="D68" s="456"/>
      <c r="E68" s="456"/>
      <c r="F68" s="206">
        <f>SUM(F31:F67)</f>
        <v>0.59200000000000008</v>
      </c>
      <c r="G68" s="457"/>
      <c r="H68" s="457"/>
      <c r="I68" s="457"/>
      <c r="J68" s="457"/>
      <c r="K68" s="207"/>
      <c r="L68" s="207"/>
      <c r="M68" s="194"/>
      <c r="N68" s="186">
        <f>SUM(N31:N67)</f>
        <v>2696283420</v>
      </c>
      <c r="O68" s="186">
        <f>SUM(O31:O67)</f>
        <v>3118135197</v>
      </c>
      <c r="P68" s="502"/>
      <c r="Q68" s="502"/>
      <c r="R68" s="505" t="s">
        <v>33</v>
      </c>
      <c r="S68" s="505"/>
      <c r="T68" s="186">
        <f>SUM(T31:T67)</f>
        <v>2638655691</v>
      </c>
      <c r="U68" s="186">
        <f>SUM(U31:U67)</f>
        <v>2548600313</v>
      </c>
      <c r="V68" s="208">
        <f>SUM(V31:V67)</f>
        <v>0.50387272727272736</v>
      </c>
      <c r="W68" s="172"/>
      <c r="X68" s="209"/>
    </row>
    <row r="69" spans="2:25" s="205" customFormat="1" ht="26.25" customHeight="1" x14ac:dyDescent="0.2">
      <c r="B69" s="487" t="s">
        <v>145</v>
      </c>
      <c r="C69" s="487"/>
      <c r="D69" s="487"/>
      <c r="E69" s="487"/>
      <c r="F69" s="487"/>
      <c r="G69" s="487"/>
      <c r="H69" s="487"/>
      <c r="I69" s="487"/>
      <c r="J69" s="487"/>
      <c r="K69" s="487"/>
      <c r="L69" s="487"/>
      <c r="M69" s="487"/>
      <c r="N69" s="487"/>
      <c r="O69" s="487"/>
      <c r="P69" s="487"/>
      <c r="Q69" s="487"/>
      <c r="R69" s="487"/>
      <c r="S69" s="487"/>
      <c r="T69" s="487"/>
      <c r="U69" s="487"/>
      <c r="V69" s="487"/>
      <c r="W69" s="487"/>
      <c r="X69" s="209"/>
    </row>
    <row r="70" spans="2:25" s="91" customFormat="1" ht="92.25" customHeight="1" x14ac:dyDescent="0.2">
      <c r="B70" s="168">
        <v>48</v>
      </c>
      <c r="C70" s="408" t="s">
        <v>235</v>
      </c>
      <c r="D70" s="408"/>
      <c r="E70" s="408"/>
      <c r="F70" s="55">
        <v>5.0000000000000001E-3</v>
      </c>
      <c r="G70" s="348" t="s">
        <v>166</v>
      </c>
      <c r="H70" s="348"/>
      <c r="I70" s="348"/>
      <c r="J70" s="51">
        <v>42826</v>
      </c>
      <c r="K70" s="51">
        <v>43099</v>
      </c>
      <c r="L70" s="348" t="s">
        <v>199</v>
      </c>
      <c r="M70" s="399" t="s">
        <v>200</v>
      </c>
      <c r="N70" s="81">
        <v>57780000</v>
      </c>
      <c r="O70" s="81"/>
      <c r="P70" s="362" t="s">
        <v>247</v>
      </c>
      <c r="Q70" s="362"/>
      <c r="R70" s="262" t="s">
        <v>325</v>
      </c>
      <c r="S70" s="263" t="s">
        <v>421</v>
      </c>
      <c r="T70" s="272">
        <v>57780000</v>
      </c>
      <c r="U70" s="272"/>
      <c r="V70" s="278">
        <f>0.19%+0.0004+0.0005+0.0004+0.0005+0.0005+0.0008</f>
        <v>5.000000000000001E-3</v>
      </c>
      <c r="W70" s="213"/>
      <c r="X70" s="173"/>
      <c r="Y70" s="214"/>
    </row>
    <row r="71" spans="2:25" s="91" customFormat="1" ht="92.25" customHeight="1" x14ac:dyDescent="0.2">
      <c r="B71" s="168">
        <v>49</v>
      </c>
      <c r="C71" s="408"/>
      <c r="D71" s="408"/>
      <c r="E71" s="408"/>
      <c r="F71" s="55">
        <v>5.0000000000000001E-3</v>
      </c>
      <c r="G71" s="348"/>
      <c r="H71" s="348"/>
      <c r="I71" s="348"/>
      <c r="J71" s="51">
        <v>42826</v>
      </c>
      <c r="K71" s="51">
        <v>43099</v>
      </c>
      <c r="L71" s="348"/>
      <c r="M71" s="399"/>
      <c r="N71" s="44">
        <v>56175000</v>
      </c>
      <c r="O71" s="44"/>
      <c r="P71" s="362" t="s">
        <v>209</v>
      </c>
      <c r="Q71" s="362"/>
      <c r="R71" s="262" t="s">
        <v>325</v>
      </c>
      <c r="S71" s="263" t="s">
        <v>422</v>
      </c>
      <c r="T71" s="272">
        <v>56175000</v>
      </c>
      <c r="U71" s="272"/>
      <c r="V71" s="278">
        <f>0.19%+0.0003+0.0005+0.0003+0.0004+0.0005+0.0011</f>
        <v>5.0000000000000001E-3</v>
      </c>
      <c r="W71" s="213"/>
      <c r="X71" s="173"/>
      <c r="Y71" s="214"/>
    </row>
    <row r="72" spans="2:25" s="91" customFormat="1" ht="94.5" customHeight="1" x14ac:dyDescent="0.2">
      <c r="B72" s="168">
        <v>50</v>
      </c>
      <c r="C72" s="390" t="s">
        <v>242</v>
      </c>
      <c r="D72" s="390"/>
      <c r="E72" s="390"/>
      <c r="F72" s="215">
        <v>0.01</v>
      </c>
      <c r="G72" s="361" t="s">
        <v>350</v>
      </c>
      <c r="H72" s="361"/>
      <c r="I72" s="361"/>
      <c r="J72" s="51">
        <v>42826</v>
      </c>
      <c r="K72" s="51">
        <v>43099</v>
      </c>
      <c r="L72" s="361" t="s">
        <v>243</v>
      </c>
      <c r="M72" s="399" t="s">
        <v>244</v>
      </c>
      <c r="N72" s="81"/>
      <c r="O72" s="81">
        <v>417000000</v>
      </c>
      <c r="P72" s="362" t="s">
        <v>248</v>
      </c>
      <c r="Q72" s="362"/>
      <c r="R72" s="262" t="s">
        <v>325</v>
      </c>
      <c r="S72" s="263" t="s">
        <v>423</v>
      </c>
      <c r="T72" s="272"/>
      <c r="U72" s="272">
        <v>417000000</v>
      </c>
      <c r="V72" s="278">
        <f>0.37%+0.0007+0.001+0.0009+0.0011+0.0011+0.0015</f>
        <v>0.01</v>
      </c>
      <c r="W72" s="213"/>
      <c r="X72" s="179"/>
      <c r="Y72" s="214"/>
    </row>
    <row r="73" spans="2:25" s="91" customFormat="1" ht="154.5" customHeight="1" x14ac:dyDescent="0.2">
      <c r="B73" s="168">
        <v>51</v>
      </c>
      <c r="C73" s="390"/>
      <c r="D73" s="390"/>
      <c r="E73" s="390"/>
      <c r="F73" s="215">
        <v>0.01</v>
      </c>
      <c r="G73" s="361" t="s">
        <v>169</v>
      </c>
      <c r="H73" s="361"/>
      <c r="I73" s="361"/>
      <c r="J73" s="51">
        <v>42917</v>
      </c>
      <c r="K73" s="51">
        <v>43099</v>
      </c>
      <c r="L73" s="361"/>
      <c r="M73" s="399"/>
      <c r="N73" s="81">
        <f>67000000+92000000+221000000+114905917</f>
        <v>494905917</v>
      </c>
      <c r="O73" s="81">
        <f>300000000</f>
        <v>300000000</v>
      </c>
      <c r="P73" s="362" t="s">
        <v>233</v>
      </c>
      <c r="Q73" s="362"/>
      <c r="R73" s="262" t="s">
        <v>325</v>
      </c>
      <c r="S73" s="263" t="s">
        <v>424</v>
      </c>
      <c r="T73" s="272">
        <f>59369100+92000000+221000000+114905917</f>
        <v>487275017</v>
      </c>
      <c r="U73" s="272">
        <v>261656547</v>
      </c>
      <c r="V73" s="278">
        <f>0.2%+0.0006+0.0007+0.0007+0.0016+0.0022+0.0022</f>
        <v>0.01</v>
      </c>
      <c r="W73" s="213"/>
      <c r="X73" s="179"/>
      <c r="Y73" s="214"/>
    </row>
    <row r="74" spans="2:25" s="91" customFormat="1" ht="69.75" customHeight="1" x14ac:dyDescent="0.2">
      <c r="B74" s="168">
        <v>52</v>
      </c>
      <c r="C74" s="390"/>
      <c r="D74" s="390"/>
      <c r="E74" s="390"/>
      <c r="F74" s="215">
        <v>0.01</v>
      </c>
      <c r="G74" s="361" t="s">
        <v>165</v>
      </c>
      <c r="H74" s="361"/>
      <c r="I74" s="361"/>
      <c r="J74" s="51">
        <v>42826</v>
      </c>
      <c r="K74" s="51">
        <v>43099</v>
      </c>
      <c r="L74" s="361"/>
      <c r="M74" s="399"/>
      <c r="N74" s="81">
        <v>70158830</v>
      </c>
      <c r="O74" s="81"/>
      <c r="P74" s="362" t="s">
        <v>249</v>
      </c>
      <c r="Q74" s="362"/>
      <c r="R74" s="262" t="s">
        <v>325</v>
      </c>
      <c r="S74" s="263" t="s">
        <v>425</v>
      </c>
      <c r="T74" s="272">
        <v>70158830</v>
      </c>
      <c r="U74" s="272"/>
      <c r="V74" s="278">
        <f>0.25%+0.0006+0.0008+0.0007+0.0018+0.0018+0.0018</f>
        <v>9.9999999999999985E-3</v>
      </c>
      <c r="W74" s="213"/>
      <c r="X74" s="173"/>
      <c r="Y74" s="214"/>
    </row>
    <row r="75" spans="2:25" s="91" customFormat="1" ht="154.5" customHeight="1" x14ac:dyDescent="0.2">
      <c r="B75" s="168">
        <v>53</v>
      </c>
      <c r="C75" s="390"/>
      <c r="D75" s="390"/>
      <c r="E75" s="390"/>
      <c r="F75" s="215">
        <v>5.0000000000000001E-3</v>
      </c>
      <c r="G75" s="361" t="s">
        <v>196</v>
      </c>
      <c r="H75" s="361"/>
      <c r="I75" s="361"/>
      <c r="J75" s="51">
        <v>42826</v>
      </c>
      <c r="K75" s="51">
        <v>43099</v>
      </c>
      <c r="L75" s="361"/>
      <c r="M75" s="399"/>
      <c r="N75" s="81"/>
      <c r="O75" s="81"/>
      <c r="P75" s="362" t="s">
        <v>250</v>
      </c>
      <c r="Q75" s="362"/>
      <c r="R75" s="262" t="s">
        <v>325</v>
      </c>
      <c r="S75" s="263" t="s">
        <v>426</v>
      </c>
      <c r="T75" s="272"/>
      <c r="U75" s="272"/>
      <c r="V75" s="278">
        <f>0.13%+0.0005+0.0005+0.0005+0.0006+0.0008+0.0008</f>
        <v>5.0000000000000001E-3</v>
      </c>
      <c r="W75" s="213"/>
      <c r="X75" s="173"/>
      <c r="Y75" s="214"/>
    </row>
    <row r="76" spans="2:25" s="91" customFormat="1" ht="135.75" customHeight="1" x14ac:dyDescent="0.2">
      <c r="B76" s="168">
        <v>54</v>
      </c>
      <c r="C76" s="390"/>
      <c r="D76" s="390"/>
      <c r="E76" s="390"/>
      <c r="F76" s="215">
        <v>5.0000000000000001E-3</v>
      </c>
      <c r="G76" s="361" t="s">
        <v>198</v>
      </c>
      <c r="H76" s="361"/>
      <c r="I76" s="361"/>
      <c r="J76" s="51">
        <v>42826</v>
      </c>
      <c r="K76" s="51">
        <v>43099</v>
      </c>
      <c r="L76" s="361"/>
      <c r="M76" s="399"/>
      <c r="N76" s="81">
        <v>57780000</v>
      </c>
      <c r="O76" s="81"/>
      <c r="P76" s="362" t="s">
        <v>210</v>
      </c>
      <c r="Q76" s="362"/>
      <c r="R76" s="262" t="s">
        <v>325</v>
      </c>
      <c r="S76" s="263" t="s">
        <v>427</v>
      </c>
      <c r="T76" s="272">
        <v>57780000</v>
      </c>
      <c r="U76" s="272"/>
      <c r="V76" s="278">
        <f>0.13%+0.0004+0.0005+0.0006+0.0005+0.0008+0.0009</f>
        <v>4.9999999999999992E-3</v>
      </c>
      <c r="W76" s="213"/>
      <c r="X76" s="173"/>
      <c r="Y76" s="214"/>
    </row>
    <row r="77" spans="2:25" s="91" customFormat="1" ht="92.25" customHeight="1" x14ac:dyDescent="0.2">
      <c r="B77" s="168">
        <v>55</v>
      </c>
      <c r="C77" s="390"/>
      <c r="D77" s="390"/>
      <c r="E77" s="390"/>
      <c r="F77" s="215">
        <v>0.01</v>
      </c>
      <c r="G77" s="361" t="s">
        <v>176</v>
      </c>
      <c r="H77" s="361"/>
      <c r="I77" s="361"/>
      <c r="J77" s="51">
        <v>42826</v>
      </c>
      <c r="K77" s="51">
        <v>43099</v>
      </c>
      <c r="L77" s="361"/>
      <c r="M77" s="399"/>
      <c r="N77" s="81"/>
      <c r="O77" s="81">
        <v>686000</v>
      </c>
      <c r="P77" s="362" t="s">
        <v>249</v>
      </c>
      <c r="Q77" s="362"/>
      <c r="R77" s="262" t="s">
        <v>325</v>
      </c>
      <c r="S77" s="263" t="s">
        <v>428</v>
      </c>
      <c r="T77" s="272"/>
      <c r="U77" s="272">
        <v>686000</v>
      </c>
      <c r="V77" s="278">
        <f>0.37%+0.0009+0.001+0.001+0.0009+0.001+0.0015</f>
        <v>0.01</v>
      </c>
      <c r="W77" s="213"/>
      <c r="X77" s="173"/>
      <c r="Y77" s="214"/>
    </row>
    <row r="78" spans="2:25" s="91" customFormat="1" ht="137.25" customHeight="1" x14ac:dyDescent="0.2">
      <c r="B78" s="168">
        <v>56</v>
      </c>
      <c r="C78" s="390"/>
      <c r="D78" s="390"/>
      <c r="E78" s="390"/>
      <c r="F78" s="215">
        <v>5.0000000000000001E-3</v>
      </c>
      <c r="G78" s="361" t="s">
        <v>167</v>
      </c>
      <c r="H78" s="361"/>
      <c r="I78" s="361"/>
      <c r="J78" s="51">
        <v>42826</v>
      </c>
      <c r="K78" s="51">
        <v>43099</v>
      </c>
      <c r="L78" s="361"/>
      <c r="M78" s="399"/>
      <c r="N78" s="81"/>
      <c r="O78" s="81"/>
      <c r="P78" s="362" t="s">
        <v>253</v>
      </c>
      <c r="Q78" s="362"/>
      <c r="R78" s="262" t="s">
        <v>325</v>
      </c>
      <c r="S78" s="263" t="s">
        <v>429</v>
      </c>
      <c r="T78" s="272"/>
      <c r="U78" s="272"/>
      <c r="V78" s="278">
        <f>0.19%+0.0004+0.0004+0.0005+0.0006+0.0005+0.0007</f>
        <v>5.0000000000000001E-3</v>
      </c>
      <c r="W78" s="213"/>
      <c r="X78" s="173"/>
      <c r="Y78" s="214"/>
    </row>
    <row r="79" spans="2:25" s="91" customFormat="1" ht="92.25" customHeight="1" x14ac:dyDescent="0.2">
      <c r="B79" s="168">
        <v>57</v>
      </c>
      <c r="C79" s="390"/>
      <c r="D79" s="390"/>
      <c r="E79" s="390"/>
      <c r="F79" s="215">
        <v>5.0000000000000001E-3</v>
      </c>
      <c r="G79" s="361" t="s">
        <v>168</v>
      </c>
      <c r="H79" s="361"/>
      <c r="I79" s="361"/>
      <c r="J79" s="51">
        <v>42826</v>
      </c>
      <c r="K79" s="51">
        <v>43099</v>
      </c>
      <c r="L79" s="361"/>
      <c r="M79" s="399"/>
      <c r="N79" s="81"/>
      <c r="O79" s="81"/>
      <c r="P79" s="362" t="s">
        <v>254</v>
      </c>
      <c r="Q79" s="362"/>
      <c r="R79" s="262" t="s">
        <v>325</v>
      </c>
      <c r="S79" s="263" t="s">
        <v>430</v>
      </c>
      <c r="T79" s="272"/>
      <c r="U79" s="272"/>
      <c r="V79" s="278">
        <f>0.19%+0.0005+0.0005+0.0005+0.0005+0.0005+0.0006</f>
        <v>5.0000000000000001E-3</v>
      </c>
      <c r="W79" s="213"/>
      <c r="X79" s="173"/>
      <c r="Y79" s="214"/>
    </row>
    <row r="80" spans="2:25" s="91" customFormat="1" ht="138" customHeight="1" x14ac:dyDescent="0.2">
      <c r="B80" s="168">
        <v>58</v>
      </c>
      <c r="C80" s="390" t="s">
        <v>241</v>
      </c>
      <c r="D80" s="390"/>
      <c r="E80" s="390"/>
      <c r="F80" s="215">
        <v>0.01</v>
      </c>
      <c r="G80" s="361" t="s">
        <v>240</v>
      </c>
      <c r="H80" s="361"/>
      <c r="I80" s="361"/>
      <c r="J80" s="51">
        <v>42826</v>
      </c>
      <c r="K80" s="51">
        <v>43099</v>
      </c>
      <c r="L80" s="361" t="s">
        <v>245</v>
      </c>
      <c r="M80" s="399" t="s">
        <v>246</v>
      </c>
      <c r="N80" s="81"/>
      <c r="O80" s="81">
        <v>233800000</v>
      </c>
      <c r="P80" s="362" t="s">
        <v>255</v>
      </c>
      <c r="Q80" s="362"/>
      <c r="R80" s="262" t="s">
        <v>325</v>
      </c>
      <c r="S80" s="263" t="s">
        <v>431</v>
      </c>
      <c r="T80" s="272"/>
      <c r="U80" s="272">
        <v>233800000</v>
      </c>
      <c r="V80" s="278">
        <f>0.25%+0.0006+0.001+0.0011+0.0014+0.0016+0.0018</f>
        <v>0.01</v>
      </c>
      <c r="W80" s="213"/>
      <c r="X80" s="173"/>
      <c r="Y80" s="214"/>
    </row>
    <row r="81" spans="2:25" s="91" customFormat="1" ht="92.25" customHeight="1" x14ac:dyDescent="0.2">
      <c r="B81" s="168">
        <v>59</v>
      </c>
      <c r="C81" s="390"/>
      <c r="D81" s="390"/>
      <c r="E81" s="390"/>
      <c r="F81" s="215">
        <v>0.01</v>
      </c>
      <c r="G81" s="361" t="s">
        <v>195</v>
      </c>
      <c r="H81" s="361"/>
      <c r="I81" s="361"/>
      <c r="J81" s="51">
        <v>42856</v>
      </c>
      <c r="K81" s="51">
        <v>43099</v>
      </c>
      <c r="L81" s="361"/>
      <c r="M81" s="399"/>
      <c r="N81" s="81">
        <v>48150000</v>
      </c>
      <c r="O81" s="81">
        <f>723229320+157289440</f>
        <v>880518760</v>
      </c>
      <c r="P81" s="362" t="s">
        <v>251</v>
      </c>
      <c r="Q81" s="362"/>
      <c r="R81" s="262" t="s">
        <v>325</v>
      </c>
      <c r="S81" s="263" t="s">
        <v>432</v>
      </c>
      <c r="T81" s="272">
        <v>48150000</v>
      </c>
      <c r="U81" s="272">
        <f>479689000+157289440</f>
        <v>636978440</v>
      </c>
      <c r="V81" s="278">
        <f>0.37%+0.0004+0.0009+0.0009+0.00123+0.0014+0.0015</f>
        <v>1.0029999999999999E-2</v>
      </c>
      <c r="W81" s="213"/>
      <c r="X81" s="173"/>
      <c r="Y81" s="214"/>
    </row>
    <row r="82" spans="2:25" s="91" customFormat="1" ht="110.25" customHeight="1" x14ac:dyDescent="0.2">
      <c r="B82" s="168">
        <v>60</v>
      </c>
      <c r="C82" s="390"/>
      <c r="D82" s="390"/>
      <c r="E82" s="390"/>
      <c r="F82" s="215">
        <v>0.01</v>
      </c>
      <c r="G82" s="361" t="s">
        <v>197</v>
      </c>
      <c r="H82" s="361"/>
      <c r="I82" s="361"/>
      <c r="J82" s="51">
        <v>42917</v>
      </c>
      <c r="K82" s="51">
        <v>43099</v>
      </c>
      <c r="L82" s="361"/>
      <c r="M82" s="399"/>
      <c r="N82" s="81"/>
      <c r="O82" s="81">
        <f>300000000+18236442</f>
        <v>318236442</v>
      </c>
      <c r="P82" s="362" t="s">
        <v>251</v>
      </c>
      <c r="Q82" s="362"/>
      <c r="R82" s="262" t="s">
        <v>325</v>
      </c>
      <c r="S82" s="263" t="s">
        <v>433</v>
      </c>
      <c r="T82" s="272"/>
      <c r="U82" s="272">
        <f>258299434+18236442</f>
        <v>276535876</v>
      </c>
      <c r="V82" s="278">
        <f>0.25%+0.0005+0.0008+0.0008+0.0014+0.0018+0.0022</f>
        <v>0.01</v>
      </c>
      <c r="W82" s="213"/>
      <c r="X82" s="173"/>
      <c r="Y82" s="214"/>
    </row>
    <row r="83" spans="2:25" s="91" customFormat="1" ht="96" customHeight="1" x14ac:dyDescent="0.2">
      <c r="B83" s="168">
        <v>61</v>
      </c>
      <c r="C83" s="390"/>
      <c r="D83" s="390"/>
      <c r="E83" s="390"/>
      <c r="F83" s="215">
        <v>5.0000000000000001E-3</v>
      </c>
      <c r="G83" s="361" t="s">
        <v>239</v>
      </c>
      <c r="H83" s="361"/>
      <c r="I83" s="361"/>
      <c r="J83" s="51">
        <v>42856</v>
      </c>
      <c r="K83" s="51">
        <v>43099</v>
      </c>
      <c r="L83" s="361"/>
      <c r="M83" s="399"/>
      <c r="N83" s="81"/>
      <c r="O83" s="81">
        <f>109987818+13224000+40232000</f>
        <v>163443818</v>
      </c>
      <c r="P83" s="362" t="s">
        <v>338</v>
      </c>
      <c r="Q83" s="362"/>
      <c r="R83" s="262" t="s">
        <v>325</v>
      </c>
      <c r="S83" s="263" t="s">
        <v>434</v>
      </c>
      <c r="T83" s="272"/>
      <c r="U83" s="272">
        <f>103472410+40232000</f>
        <v>143704410</v>
      </c>
      <c r="V83" s="278">
        <f>0.13%+0.0002+0.0002+0.0003+0.0009+0.0009+0.0012</f>
        <v>4.9999999999999992E-3</v>
      </c>
      <c r="W83" s="213"/>
      <c r="X83" s="173"/>
      <c r="Y83" s="214"/>
    </row>
    <row r="84" spans="2:25" s="91" customFormat="1" ht="92.25" customHeight="1" x14ac:dyDescent="0.2">
      <c r="B84" s="168">
        <v>62</v>
      </c>
      <c r="C84" s="390"/>
      <c r="D84" s="390"/>
      <c r="E84" s="390"/>
      <c r="F84" s="215">
        <v>0.01</v>
      </c>
      <c r="G84" s="361" t="s">
        <v>238</v>
      </c>
      <c r="H84" s="361"/>
      <c r="I84" s="361"/>
      <c r="J84" s="51">
        <v>42917</v>
      </c>
      <c r="K84" s="51">
        <v>42946</v>
      </c>
      <c r="L84" s="361"/>
      <c r="M84" s="399"/>
      <c r="N84" s="81"/>
      <c r="O84" s="81">
        <v>382200000</v>
      </c>
      <c r="P84" s="362" t="s">
        <v>252</v>
      </c>
      <c r="Q84" s="362"/>
      <c r="R84" s="262" t="s">
        <v>325</v>
      </c>
      <c r="S84" s="263" t="s">
        <v>435</v>
      </c>
      <c r="T84" s="272"/>
      <c r="U84" s="272">
        <v>382200000</v>
      </c>
      <c r="V84" s="278">
        <f>0.37%+0.0004+0.001+0.0009+0.001+0.0012+0.0018</f>
        <v>0.01</v>
      </c>
      <c r="W84" s="213"/>
      <c r="X84" s="173"/>
      <c r="Y84" s="214"/>
    </row>
    <row r="85" spans="2:25" s="91" customFormat="1" ht="92.25" customHeight="1" x14ac:dyDescent="0.2">
      <c r="B85" s="168">
        <v>63</v>
      </c>
      <c r="C85" s="390"/>
      <c r="D85" s="390"/>
      <c r="E85" s="390"/>
      <c r="F85" s="215">
        <v>5.0000000000000001E-3</v>
      </c>
      <c r="G85" s="361" t="s">
        <v>178</v>
      </c>
      <c r="H85" s="361"/>
      <c r="I85" s="361"/>
      <c r="J85" s="51">
        <v>42826</v>
      </c>
      <c r="K85" s="51">
        <v>43099</v>
      </c>
      <c r="L85" s="361"/>
      <c r="M85" s="399"/>
      <c r="N85" s="81"/>
      <c r="O85" s="81">
        <f>25000000-686000</f>
        <v>24314000</v>
      </c>
      <c r="P85" s="362" t="s">
        <v>252</v>
      </c>
      <c r="Q85" s="362"/>
      <c r="R85" s="262" t="s">
        <v>325</v>
      </c>
      <c r="S85" s="263" t="s">
        <v>436</v>
      </c>
      <c r="T85" s="272"/>
      <c r="U85" s="272">
        <v>2344300</v>
      </c>
      <c r="V85" s="278">
        <f>0.19%+0.0001+0.0004+0.0004+0.0005+0.0008+0.0009</f>
        <v>5.0000000000000001E-3</v>
      </c>
      <c r="W85" s="213"/>
      <c r="X85" s="173"/>
      <c r="Y85" s="214"/>
    </row>
    <row r="86" spans="2:25" s="205" customFormat="1" ht="29.25" customHeight="1" x14ac:dyDescent="0.2">
      <c r="B86" s="453"/>
      <c r="C86" s="453"/>
      <c r="D86" s="453"/>
      <c r="E86" s="453"/>
      <c r="F86" s="216">
        <f>SUM(F70:F85)</f>
        <v>0.12</v>
      </c>
      <c r="G86" s="456" t="s">
        <v>32</v>
      </c>
      <c r="H86" s="456"/>
      <c r="I86" s="456"/>
      <c r="J86" s="51"/>
      <c r="K86" s="217"/>
      <c r="L86" s="218"/>
      <c r="M86" s="256"/>
      <c r="N86" s="38">
        <f>SUM(N70:N85)</f>
        <v>784949747</v>
      </c>
      <c r="O86" s="38">
        <f>SUM(O70:O85)</f>
        <v>2720199020</v>
      </c>
      <c r="P86" s="362"/>
      <c r="Q86" s="362"/>
      <c r="R86" s="262"/>
      <c r="S86" s="270"/>
      <c r="T86" s="38">
        <f>SUM(T70:T85)</f>
        <v>777318847</v>
      </c>
      <c r="U86" s="38">
        <f>SUM(U70:U85)</f>
        <v>2354905573</v>
      </c>
      <c r="V86" s="293">
        <f>SUM(V70:V85)</f>
        <v>0.12003</v>
      </c>
      <c r="W86" s="172"/>
      <c r="X86" s="209"/>
    </row>
    <row r="87" spans="2:25" s="205" customFormat="1" ht="26.25" customHeight="1" x14ac:dyDescent="0.2">
      <c r="B87" s="487" t="s">
        <v>131</v>
      </c>
      <c r="C87" s="487"/>
      <c r="D87" s="487"/>
      <c r="E87" s="487"/>
      <c r="F87" s="487"/>
      <c r="G87" s="487"/>
      <c r="H87" s="487"/>
      <c r="I87" s="487"/>
      <c r="J87" s="487"/>
      <c r="K87" s="487"/>
      <c r="L87" s="487"/>
      <c r="M87" s="487"/>
      <c r="N87" s="487"/>
      <c r="O87" s="487"/>
      <c r="P87" s="487"/>
      <c r="Q87" s="487"/>
      <c r="R87" s="487"/>
      <c r="S87" s="487"/>
      <c r="T87" s="487"/>
      <c r="U87" s="487"/>
      <c r="V87" s="487"/>
      <c r="W87" s="487"/>
      <c r="X87" s="209"/>
    </row>
    <row r="88" spans="2:25" s="91" customFormat="1" ht="81" customHeight="1" x14ac:dyDescent="0.2">
      <c r="B88" s="168">
        <v>64</v>
      </c>
      <c r="C88" s="390" t="s">
        <v>192</v>
      </c>
      <c r="D88" s="390"/>
      <c r="E88" s="390"/>
      <c r="F88" s="195">
        <v>4.0000000000000001E-3</v>
      </c>
      <c r="G88" s="390" t="s">
        <v>375</v>
      </c>
      <c r="H88" s="390"/>
      <c r="I88" s="390"/>
      <c r="J88" s="51">
        <v>42856</v>
      </c>
      <c r="K88" s="51">
        <v>43100</v>
      </c>
      <c r="L88" s="183" t="s">
        <v>302</v>
      </c>
      <c r="M88" s="183" t="s">
        <v>137</v>
      </c>
      <c r="N88" s="221"/>
      <c r="O88" s="255"/>
      <c r="P88" s="395" t="s">
        <v>310</v>
      </c>
      <c r="Q88" s="395"/>
      <c r="R88" s="180" t="s">
        <v>324</v>
      </c>
      <c r="S88" s="176" t="s">
        <v>441</v>
      </c>
      <c r="T88" s="254"/>
      <c r="U88" s="254"/>
      <c r="V88" s="171">
        <v>4.0000000000000001E-3</v>
      </c>
      <c r="W88" s="180"/>
      <c r="X88" s="173"/>
    </row>
    <row r="89" spans="2:25" s="91" customFormat="1" ht="75" customHeight="1" x14ac:dyDescent="0.2">
      <c r="B89" s="168">
        <v>65</v>
      </c>
      <c r="C89" s="390"/>
      <c r="D89" s="390"/>
      <c r="E89" s="390"/>
      <c r="F89" s="195">
        <v>4.0000000000000001E-3</v>
      </c>
      <c r="G89" s="390" t="s">
        <v>208</v>
      </c>
      <c r="H89" s="390"/>
      <c r="I89" s="390"/>
      <c r="J89" s="51">
        <v>42795</v>
      </c>
      <c r="K89" s="51">
        <v>42870</v>
      </c>
      <c r="L89" s="194" t="s">
        <v>136</v>
      </c>
      <c r="M89" s="183" t="s">
        <v>137</v>
      </c>
      <c r="N89" s="221"/>
      <c r="O89" s="250"/>
      <c r="P89" s="350" t="s">
        <v>237</v>
      </c>
      <c r="Q89" s="350"/>
      <c r="R89" s="169" t="s">
        <v>324</v>
      </c>
      <c r="S89" s="176" t="s">
        <v>406</v>
      </c>
      <c r="T89" s="212"/>
      <c r="U89" s="212"/>
      <c r="V89" s="196">
        <v>3.0000000000000001E-3</v>
      </c>
      <c r="W89" s="172"/>
      <c r="X89" s="173"/>
    </row>
    <row r="90" spans="2:25" s="91" customFormat="1" ht="80.25" customHeight="1" x14ac:dyDescent="0.2">
      <c r="B90" s="168">
        <v>66</v>
      </c>
      <c r="C90" s="390"/>
      <c r="D90" s="390"/>
      <c r="E90" s="390"/>
      <c r="F90" s="195">
        <v>4.0000000000000001E-3</v>
      </c>
      <c r="G90" s="390" t="s">
        <v>215</v>
      </c>
      <c r="H90" s="390"/>
      <c r="I90" s="390"/>
      <c r="J90" s="51">
        <v>42795</v>
      </c>
      <c r="K90" s="51">
        <v>42887</v>
      </c>
      <c r="L90" s="194" t="s">
        <v>136</v>
      </c>
      <c r="M90" s="183" t="s">
        <v>137</v>
      </c>
      <c r="N90" s="221"/>
      <c r="O90" s="250"/>
      <c r="P90" s="350" t="s">
        <v>236</v>
      </c>
      <c r="Q90" s="350"/>
      <c r="R90" s="169" t="s">
        <v>324</v>
      </c>
      <c r="S90" s="176" t="s">
        <v>379</v>
      </c>
      <c r="T90" s="212"/>
      <c r="U90" s="212"/>
      <c r="V90" s="196">
        <v>1.1999999999999999E-3</v>
      </c>
      <c r="W90" s="172"/>
      <c r="X90" s="173"/>
    </row>
    <row r="91" spans="2:25" s="91" customFormat="1" ht="80.25" customHeight="1" x14ac:dyDescent="0.2">
      <c r="B91" s="168">
        <v>67</v>
      </c>
      <c r="C91" s="390"/>
      <c r="D91" s="390"/>
      <c r="E91" s="390"/>
      <c r="F91" s="195">
        <v>4.0000000000000001E-3</v>
      </c>
      <c r="G91" s="390" t="s">
        <v>223</v>
      </c>
      <c r="H91" s="390"/>
      <c r="I91" s="390"/>
      <c r="J91" s="51">
        <v>42856</v>
      </c>
      <c r="K91" s="51">
        <v>42947</v>
      </c>
      <c r="L91" s="194" t="s">
        <v>136</v>
      </c>
      <c r="M91" s="183" t="s">
        <v>137</v>
      </c>
      <c r="N91" s="221"/>
      <c r="O91" s="250"/>
      <c r="P91" s="350" t="s">
        <v>346</v>
      </c>
      <c r="Q91" s="350"/>
      <c r="R91" s="169" t="s">
        <v>324</v>
      </c>
      <c r="S91" s="176" t="s">
        <v>378</v>
      </c>
      <c r="T91" s="212"/>
      <c r="U91" s="212"/>
      <c r="V91" s="196">
        <v>3.0000000000000001E-3</v>
      </c>
      <c r="W91" s="172"/>
      <c r="X91" s="173"/>
    </row>
    <row r="92" spans="2:25" s="91" customFormat="1" ht="243" customHeight="1" x14ac:dyDescent="0.2">
      <c r="B92" s="168">
        <v>68</v>
      </c>
      <c r="C92" s="390"/>
      <c r="D92" s="390"/>
      <c r="E92" s="390"/>
      <c r="F92" s="195">
        <v>4.0000000000000001E-3</v>
      </c>
      <c r="G92" s="390" t="s">
        <v>308</v>
      </c>
      <c r="H92" s="390"/>
      <c r="I92" s="390"/>
      <c r="J92" s="51">
        <v>42826</v>
      </c>
      <c r="K92" s="51">
        <v>42887</v>
      </c>
      <c r="L92" s="194" t="s">
        <v>136</v>
      </c>
      <c r="M92" s="182" t="s">
        <v>137</v>
      </c>
      <c r="N92" s="221"/>
      <c r="O92" s="250"/>
      <c r="P92" s="350" t="s">
        <v>257</v>
      </c>
      <c r="Q92" s="350"/>
      <c r="R92" s="169" t="s">
        <v>324</v>
      </c>
      <c r="S92" s="176" t="s">
        <v>382</v>
      </c>
      <c r="T92" s="212"/>
      <c r="U92" s="212"/>
      <c r="V92" s="196">
        <v>3.0000000000000001E-3</v>
      </c>
      <c r="W92" s="172"/>
      <c r="X92" s="173"/>
    </row>
    <row r="93" spans="2:25" s="91" customFormat="1" ht="110.25" customHeight="1" x14ac:dyDescent="0.2">
      <c r="B93" s="168">
        <v>69</v>
      </c>
      <c r="C93" s="390"/>
      <c r="D93" s="390"/>
      <c r="E93" s="390"/>
      <c r="F93" s="195">
        <v>4.0000000000000001E-3</v>
      </c>
      <c r="G93" s="390" t="s">
        <v>232</v>
      </c>
      <c r="H93" s="390"/>
      <c r="I93" s="390"/>
      <c r="J93" s="51">
        <v>42887</v>
      </c>
      <c r="K93" s="51">
        <v>42977</v>
      </c>
      <c r="L93" s="194" t="s">
        <v>136</v>
      </c>
      <c r="M93" s="182" t="s">
        <v>137</v>
      </c>
      <c r="N93" s="221"/>
      <c r="O93" s="250"/>
      <c r="P93" s="350" t="s">
        <v>257</v>
      </c>
      <c r="Q93" s="350"/>
      <c r="R93" s="169" t="s">
        <v>324</v>
      </c>
      <c r="S93" s="176" t="s">
        <v>383</v>
      </c>
      <c r="T93" s="212"/>
      <c r="U93" s="212"/>
      <c r="V93" s="196">
        <v>3.3999999999999998E-3</v>
      </c>
      <c r="W93" s="172"/>
      <c r="X93" s="173"/>
    </row>
    <row r="94" spans="2:25" s="91" customFormat="1" ht="69" customHeight="1" x14ac:dyDescent="0.2">
      <c r="B94" s="168">
        <v>70</v>
      </c>
      <c r="C94" s="390"/>
      <c r="D94" s="390"/>
      <c r="E94" s="390"/>
      <c r="F94" s="195">
        <v>4.0000000000000001E-3</v>
      </c>
      <c r="G94" s="390" t="s">
        <v>234</v>
      </c>
      <c r="H94" s="390"/>
      <c r="I94" s="390"/>
      <c r="J94" s="51">
        <v>42948</v>
      </c>
      <c r="K94" s="51">
        <v>43069</v>
      </c>
      <c r="L94" s="194" t="s">
        <v>136</v>
      </c>
      <c r="M94" s="182" t="s">
        <v>137</v>
      </c>
      <c r="N94" s="221"/>
      <c r="O94" s="250"/>
      <c r="P94" s="350" t="s">
        <v>258</v>
      </c>
      <c r="Q94" s="350"/>
      <c r="R94" s="169" t="s">
        <v>324</v>
      </c>
      <c r="S94" s="176" t="s">
        <v>439</v>
      </c>
      <c r="T94" s="212"/>
      <c r="U94" s="212"/>
      <c r="V94" s="222">
        <v>0</v>
      </c>
      <c r="W94" s="172"/>
      <c r="X94" s="173"/>
    </row>
    <row r="95" spans="2:25" s="91" customFormat="1" ht="195" customHeight="1" x14ac:dyDescent="0.2">
      <c r="B95" s="168">
        <v>71</v>
      </c>
      <c r="C95" s="390"/>
      <c r="D95" s="390"/>
      <c r="E95" s="390"/>
      <c r="F95" s="195">
        <v>1.4E-2</v>
      </c>
      <c r="G95" s="390" t="s">
        <v>130</v>
      </c>
      <c r="H95" s="390"/>
      <c r="I95" s="390"/>
      <c r="J95" s="51">
        <v>42736</v>
      </c>
      <c r="K95" s="51">
        <v>43100</v>
      </c>
      <c r="L95" s="194" t="s">
        <v>138</v>
      </c>
      <c r="M95" s="183" t="s">
        <v>139</v>
      </c>
      <c r="N95" s="221"/>
      <c r="O95" s="250"/>
      <c r="P95" s="350" t="s">
        <v>337</v>
      </c>
      <c r="Q95" s="350"/>
      <c r="R95" s="169" t="s">
        <v>324</v>
      </c>
      <c r="S95" s="176" t="s">
        <v>468</v>
      </c>
      <c r="T95" s="212"/>
      <c r="U95" s="212"/>
      <c r="V95" s="196">
        <v>3.0000000000000001E-3</v>
      </c>
      <c r="W95" s="172"/>
      <c r="X95" s="173"/>
    </row>
    <row r="96" spans="2:25" s="91" customFormat="1" ht="132" customHeight="1" x14ac:dyDescent="0.2">
      <c r="B96" s="168">
        <v>72</v>
      </c>
      <c r="C96" s="390" t="s">
        <v>309</v>
      </c>
      <c r="D96" s="390"/>
      <c r="E96" s="390"/>
      <c r="F96" s="195">
        <v>3.0000000000000001E-3</v>
      </c>
      <c r="G96" s="390" t="s">
        <v>399</v>
      </c>
      <c r="H96" s="390"/>
      <c r="I96" s="390"/>
      <c r="J96" s="51">
        <v>42736</v>
      </c>
      <c r="K96" s="51">
        <v>43100</v>
      </c>
      <c r="L96" s="182" t="s">
        <v>135</v>
      </c>
      <c r="M96" s="182" t="s">
        <v>134</v>
      </c>
      <c r="N96" s="221"/>
      <c r="O96" s="250"/>
      <c r="P96" s="350" t="s">
        <v>272</v>
      </c>
      <c r="Q96" s="350"/>
      <c r="R96" s="180" t="s">
        <v>325</v>
      </c>
      <c r="S96" s="176" t="s">
        <v>444</v>
      </c>
      <c r="T96" s="254"/>
      <c r="U96" s="254"/>
      <c r="V96" s="196">
        <v>3.0000000000000001E-3</v>
      </c>
      <c r="W96" s="180"/>
      <c r="X96" s="173"/>
    </row>
    <row r="97" spans="1:25" s="91" customFormat="1" ht="237" customHeight="1" x14ac:dyDescent="0.2">
      <c r="B97" s="168">
        <v>73</v>
      </c>
      <c r="C97" s="390"/>
      <c r="D97" s="390"/>
      <c r="E97" s="390"/>
      <c r="F97" s="195">
        <v>3.0000000000000001E-3</v>
      </c>
      <c r="G97" s="390" t="s">
        <v>270</v>
      </c>
      <c r="H97" s="390"/>
      <c r="I97" s="390"/>
      <c r="J97" s="51">
        <v>42736</v>
      </c>
      <c r="K97" s="51">
        <v>43100</v>
      </c>
      <c r="L97" s="182" t="s">
        <v>135</v>
      </c>
      <c r="M97" s="182" t="s">
        <v>134</v>
      </c>
      <c r="N97" s="221"/>
      <c r="O97" s="250"/>
      <c r="P97" s="350" t="s">
        <v>271</v>
      </c>
      <c r="Q97" s="350"/>
      <c r="R97" s="169" t="s">
        <v>325</v>
      </c>
      <c r="S97" s="176" t="s">
        <v>387</v>
      </c>
      <c r="T97" s="212"/>
      <c r="U97" s="212"/>
      <c r="V97" s="196">
        <v>3.0000000000000001E-3</v>
      </c>
      <c r="W97" s="172"/>
      <c r="X97" s="173"/>
    </row>
    <row r="98" spans="1:25" s="91" customFormat="1" ht="213" customHeight="1" x14ac:dyDescent="0.2">
      <c r="B98" s="168">
        <v>74</v>
      </c>
      <c r="C98" s="390"/>
      <c r="D98" s="390"/>
      <c r="E98" s="390"/>
      <c r="F98" s="195">
        <v>3.0000000000000001E-3</v>
      </c>
      <c r="G98" s="390" t="s">
        <v>402</v>
      </c>
      <c r="H98" s="390"/>
      <c r="I98" s="390"/>
      <c r="J98" s="51">
        <v>42736</v>
      </c>
      <c r="K98" s="51">
        <v>43100</v>
      </c>
      <c r="L98" s="182" t="s">
        <v>135</v>
      </c>
      <c r="M98" s="182" t="s">
        <v>134</v>
      </c>
      <c r="N98" s="221"/>
      <c r="O98" s="250"/>
      <c r="P98" s="350" t="s">
        <v>268</v>
      </c>
      <c r="Q98" s="350"/>
      <c r="R98" s="169" t="s">
        <v>325</v>
      </c>
      <c r="S98" s="176" t="s">
        <v>390</v>
      </c>
      <c r="T98" s="212"/>
      <c r="U98" s="212"/>
      <c r="V98" s="196">
        <v>3.0000000000000001E-3</v>
      </c>
      <c r="W98" s="172"/>
      <c r="X98" s="173"/>
    </row>
    <row r="99" spans="1:25" s="91" customFormat="1" ht="69" customHeight="1" x14ac:dyDescent="0.2">
      <c r="B99" s="168">
        <v>75</v>
      </c>
      <c r="C99" s="390"/>
      <c r="D99" s="390"/>
      <c r="E99" s="390"/>
      <c r="F99" s="195">
        <v>3.0000000000000001E-3</v>
      </c>
      <c r="G99" s="390" t="s">
        <v>349</v>
      </c>
      <c r="H99" s="390"/>
      <c r="I99" s="390"/>
      <c r="J99" s="51">
        <v>42736</v>
      </c>
      <c r="K99" s="51">
        <v>43100</v>
      </c>
      <c r="L99" s="182" t="s">
        <v>135</v>
      </c>
      <c r="M99" s="182" t="s">
        <v>134</v>
      </c>
      <c r="N99" s="221"/>
      <c r="O99" s="250"/>
      <c r="P99" s="350" t="s">
        <v>303</v>
      </c>
      <c r="Q99" s="350"/>
      <c r="R99" s="169" t="s">
        <v>325</v>
      </c>
      <c r="S99" s="176" t="s">
        <v>371</v>
      </c>
      <c r="T99" s="212"/>
      <c r="U99" s="212"/>
      <c r="V99" s="196">
        <v>3.0000000000000001E-3</v>
      </c>
      <c r="W99" s="172"/>
      <c r="X99" s="173"/>
    </row>
    <row r="100" spans="1:25" s="91" customFormat="1" ht="184.5" customHeight="1" x14ac:dyDescent="0.2">
      <c r="B100" s="168">
        <v>76</v>
      </c>
      <c r="C100" s="390"/>
      <c r="D100" s="390"/>
      <c r="E100" s="390"/>
      <c r="F100" s="195">
        <v>3.0000000000000001E-3</v>
      </c>
      <c r="G100" s="390" t="s">
        <v>401</v>
      </c>
      <c r="H100" s="390"/>
      <c r="I100" s="390"/>
      <c r="J100" s="51">
        <v>42736</v>
      </c>
      <c r="K100" s="51">
        <v>43100</v>
      </c>
      <c r="L100" s="182" t="s">
        <v>135</v>
      </c>
      <c r="M100" s="182" t="s">
        <v>134</v>
      </c>
      <c r="N100" s="221"/>
      <c r="O100" s="250"/>
      <c r="P100" s="350" t="s">
        <v>347</v>
      </c>
      <c r="Q100" s="350"/>
      <c r="R100" s="169" t="s">
        <v>325</v>
      </c>
      <c r="S100" s="176" t="s">
        <v>388</v>
      </c>
      <c r="T100" s="212"/>
      <c r="U100" s="212"/>
      <c r="V100" s="196">
        <v>3.0000000000000001E-3</v>
      </c>
      <c r="W100" s="172"/>
      <c r="X100" s="179"/>
    </row>
    <row r="101" spans="1:25" s="91" customFormat="1" ht="69" customHeight="1" x14ac:dyDescent="0.2">
      <c r="B101" s="168">
        <v>77</v>
      </c>
      <c r="C101" s="390"/>
      <c r="D101" s="390"/>
      <c r="E101" s="390"/>
      <c r="F101" s="195">
        <v>3.0000000000000001E-3</v>
      </c>
      <c r="G101" s="390" t="s">
        <v>400</v>
      </c>
      <c r="H101" s="390"/>
      <c r="I101" s="390"/>
      <c r="J101" s="51">
        <v>42736</v>
      </c>
      <c r="K101" s="51">
        <v>43100</v>
      </c>
      <c r="L101" s="182" t="s">
        <v>135</v>
      </c>
      <c r="M101" s="182" t="s">
        <v>134</v>
      </c>
      <c r="N101" s="221"/>
      <c r="O101" s="250"/>
      <c r="P101" s="350" t="s">
        <v>304</v>
      </c>
      <c r="Q101" s="350"/>
      <c r="R101" s="169" t="s">
        <v>325</v>
      </c>
      <c r="S101" s="176" t="s">
        <v>389</v>
      </c>
      <c r="T101" s="212"/>
      <c r="U101" s="212"/>
      <c r="V101" s="196">
        <v>3.0000000000000001E-3</v>
      </c>
      <c r="W101" s="172"/>
      <c r="X101" s="173"/>
    </row>
    <row r="102" spans="1:25" s="91" customFormat="1" ht="177.75" customHeight="1" x14ac:dyDescent="0.2">
      <c r="B102" s="168">
        <v>78</v>
      </c>
      <c r="C102" s="390"/>
      <c r="D102" s="390"/>
      <c r="E102" s="390"/>
      <c r="F102" s="195">
        <v>3.0000000000000001E-3</v>
      </c>
      <c r="G102" s="390" t="s">
        <v>269</v>
      </c>
      <c r="H102" s="390"/>
      <c r="I102" s="390"/>
      <c r="J102" s="51">
        <v>42736</v>
      </c>
      <c r="K102" s="51">
        <v>43100</v>
      </c>
      <c r="L102" s="182" t="s">
        <v>135</v>
      </c>
      <c r="M102" s="182" t="s">
        <v>134</v>
      </c>
      <c r="N102" s="221"/>
      <c r="O102" s="250"/>
      <c r="P102" s="350" t="s">
        <v>305</v>
      </c>
      <c r="Q102" s="350"/>
      <c r="R102" s="169" t="s">
        <v>325</v>
      </c>
      <c r="S102" s="176" t="s">
        <v>443</v>
      </c>
      <c r="T102" s="177"/>
      <c r="U102" s="212"/>
      <c r="V102" s="196">
        <v>3.0000000000000001E-3</v>
      </c>
      <c r="W102" s="172"/>
      <c r="X102" s="173"/>
    </row>
    <row r="103" spans="1:25" s="91" customFormat="1" ht="94.5" customHeight="1" x14ac:dyDescent="0.2">
      <c r="B103" s="168">
        <v>79</v>
      </c>
      <c r="C103" s="390"/>
      <c r="D103" s="390"/>
      <c r="E103" s="390"/>
      <c r="F103" s="195">
        <v>3.0000000000000001E-3</v>
      </c>
      <c r="G103" s="390" t="s">
        <v>403</v>
      </c>
      <c r="H103" s="390"/>
      <c r="I103" s="390"/>
      <c r="J103" s="51">
        <v>42736</v>
      </c>
      <c r="K103" s="51">
        <v>43100</v>
      </c>
      <c r="L103" s="182" t="s">
        <v>135</v>
      </c>
      <c r="M103" s="182" t="s">
        <v>134</v>
      </c>
      <c r="N103" s="221"/>
      <c r="O103" s="250"/>
      <c r="P103" s="350" t="s">
        <v>327</v>
      </c>
      <c r="Q103" s="350"/>
      <c r="R103" s="169" t="s">
        <v>325</v>
      </c>
      <c r="S103" s="176" t="s">
        <v>381</v>
      </c>
      <c r="T103" s="212"/>
      <c r="U103" s="212"/>
      <c r="V103" s="196">
        <f>0.15%+0.0002+0.0002+0.0002+0.0002+0.0003+0.0004</f>
        <v>3.0000000000000005E-3</v>
      </c>
      <c r="W103" s="172"/>
      <c r="X103" s="173"/>
    </row>
    <row r="104" spans="1:25" s="205" customFormat="1" ht="19.5" customHeight="1" x14ac:dyDescent="0.2">
      <c r="B104" s="456" t="s">
        <v>32</v>
      </c>
      <c r="C104" s="456"/>
      <c r="D104" s="456"/>
      <c r="E104" s="456"/>
      <c r="F104" s="206">
        <f>SUM(F88:F103)</f>
        <v>6.6000000000000017E-2</v>
      </c>
      <c r="G104" s="457"/>
      <c r="H104" s="457"/>
      <c r="I104" s="457"/>
      <c r="J104" s="457"/>
      <c r="K104" s="207"/>
      <c r="L104" s="207"/>
      <c r="M104" s="194"/>
      <c r="N104" s="186">
        <f>SUM(N89:N103)</f>
        <v>0</v>
      </c>
      <c r="O104" s="186">
        <f>SUM(O89:O103)</f>
        <v>0</v>
      </c>
      <c r="P104" s="502">
        <f>SUM(P29:P103)</f>
        <v>0</v>
      </c>
      <c r="Q104" s="502"/>
      <c r="R104" s="169"/>
      <c r="S104" s="211"/>
      <c r="T104" s="186">
        <f>SUM(T88:T103)</f>
        <v>0</v>
      </c>
      <c r="U104" s="186"/>
      <c r="V104" s="219">
        <f>SUM(V88:V103)</f>
        <v>4.4600000000000008E-2</v>
      </c>
      <c r="W104" s="172"/>
      <c r="X104" s="209"/>
    </row>
    <row r="105" spans="1:25" s="205" customFormat="1" ht="15.75" x14ac:dyDescent="0.2">
      <c r="A105" s="223"/>
      <c r="B105" s="115"/>
      <c r="C105" s="115"/>
      <c r="D105" s="115"/>
      <c r="E105" s="115"/>
      <c r="F105" s="224"/>
      <c r="G105" s="115"/>
      <c r="H105" s="115"/>
      <c r="I105" s="115"/>
      <c r="J105" s="225"/>
      <c r="K105" s="226"/>
      <c r="L105" s="227"/>
      <c r="M105" s="228"/>
      <c r="N105" s="229"/>
      <c r="O105" s="229"/>
      <c r="P105" s="230"/>
      <c r="Q105" s="231"/>
      <c r="R105" s="173"/>
      <c r="S105" s="232"/>
      <c r="T105" s="91"/>
      <c r="U105" s="91"/>
      <c r="V105" s="233"/>
      <c r="W105" s="234"/>
      <c r="X105" s="209"/>
    </row>
    <row r="106" spans="1:25" s="205" customFormat="1" ht="26.25" customHeight="1" x14ac:dyDescent="0.2">
      <c r="B106" s="466" t="s">
        <v>109</v>
      </c>
      <c r="C106" s="467"/>
      <c r="D106" s="467"/>
      <c r="E106" s="467"/>
      <c r="F106" s="467"/>
      <c r="G106" s="467"/>
      <c r="H106" s="467"/>
      <c r="I106" s="467"/>
      <c r="J106" s="467"/>
      <c r="K106" s="467"/>
      <c r="L106" s="467"/>
      <c r="M106" s="467"/>
      <c r="N106" s="467"/>
      <c r="O106" s="467"/>
      <c r="P106" s="467"/>
      <c r="Q106" s="467"/>
      <c r="R106" s="467"/>
      <c r="S106" s="467"/>
      <c r="T106" s="467"/>
      <c r="U106" s="467"/>
      <c r="V106" s="467"/>
      <c r="W106" s="468"/>
      <c r="X106" s="209"/>
    </row>
    <row r="107" spans="1:25" s="205" customFormat="1" ht="23.25" customHeight="1" x14ac:dyDescent="0.2">
      <c r="B107" s="116">
        <v>80</v>
      </c>
      <c r="C107" s="420" t="s">
        <v>306</v>
      </c>
      <c r="D107" s="421"/>
      <c r="E107" s="422"/>
      <c r="F107" s="235">
        <v>0.05</v>
      </c>
      <c r="G107" s="425" t="s">
        <v>110</v>
      </c>
      <c r="H107" s="426"/>
      <c r="I107" s="427"/>
      <c r="J107" s="236">
        <v>42736</v>
      </c>
      <c r="K107" s="236">
        <v>43100</v>
      </c>
      <c r="L107" s="419" t="s">
        <v>140</v>
      </c>
      <c r="M107" s="458" t="s">
        <v>141</v>
      </c>
      <c r="N107" s="253">
        <v>691628801</v>
      </c>
      <c r="O107" s="237"/>
      <c r="P107" s="396"/>
      <c r="Q107" s="396"/>
      <c r="R107" s="169"/>
      <c r="S107" s="211"/>
      <c r="T107" s="253">
        <v>691628801</v>
      </c>
      <c r="U107" s="253">
        <v>691628801</v>
      </c>
      <c r="V107" s="196">
        <f>F107*T107/N107</f>
        <v>5.000000000000001E-2</v>
      </c>
      <c r="W107" s="274"/>
      <c r="X107" s="209"/>
    </row>
    <row r="108" spans="1:25" s="205" customFormat="1" ht="23.25" customHeight="1" x14ac:dyDescent="0.2">
      <c r="B108" s="168">
        <v>81</v>
      </c>
      <c r="C108" s="423"/>
      <c r="D108" s="397"/>
      <c r="E108" s="424"/>
      <c r="F108" s="235">
        <v>0.05</v>
      </c>
      <c r="G108" s="459" t="s">
        <v>111</v>
      </c>
      <c r="H108" s="460"/>
      <c r="I108" s="461"/>
      <c r="J108" s="236">
        <v>42736</v>
      </c>
      <c r="K108" s="236">
        <v>43100</v>
      </c>
      <c r="L108" s="419"/>
      <c r="M108" s="458"/>
      <c r="N108" s="253">
        <v>3943000000</v>
      </c>
      <c r="O108" s="253">
        <f>+P112</f>
        <v>5838334217</v>
      </c>
      <c r="P108" s="462"/>
      <c r="Q108" s="463"/>
      <c r="R108" s="169"/>
      <c r="S108" s="211"/>
      <c r="T108" s="253">
        <v>3877741371</v>
      </c>
      <c r="U108" s="253">
        <f>+U104+U86+U68+U29</f>
        <v>4903505886</v>
      </c>
      <c r="V108" s="196">
        <f>(T108+U108)*5%/(N108+O108)</f>
        <v>4.4887778406232946E-2</v>
      </c>
      <c r="W108" s="172"/>
      <c r="X108" s="209"/>
    </row>
    <row r="109" spans="1:25" s="205" customFormat="1" ht="94.5" customHeight="1" x14ac:dyDescent="0.2">
      <c r="B109" s="117">
        <v>82</v>
      </c>
      <c r="C109" s="425"/>
      <c r="D109" s="426"/>
      <c r="E109" s="427"/>
      <c r="F109" s="235">
        <v>0.05</v>
      </c>
      <c r="G109" s="420" t="s">
        <v>132</v>
      </c>
      <c r="H109" s="421"/>
      <c r="I109" s="422"/>
      <c r="J109" s="236">
        <v>42736</v>
      </c>
      <c r="K109" s="236">
        <v>43100</v>
      </c>
      <c r="L109" s="419"/>
      <c r="M109" s="458"/>
      <c r="N109" s="238"/>
      <c r="O109" s="239"/>
      <c r="P109" s="462"/>
      <c r="Q109" s="463"/>
      <c r="R109" s="169"/>
      <c r="S109" s="211"/>
      <c r="T109" s="212"/>
      <c r="U109" s="212"/>
      <c r="V109" s="196">
        <v>0.05</v>
      </c>
      <c r="W109" s="294" t="s">
        <v>380</v>
      </c>
      <c r="X109" s="209"/>
      <c r="Y109" s="240"/>
    </row>
    <row r="110" spans="1:25" s="205" customFormat="1" ht="19.5" customHeight="1" x14ac:dyDescent="0.2">
      <c r="B110" s="454" t="s">
        <v>32</v>
      </c>
      <c r="C110" s="454"/>
      <c r="D110" s="454"/>
      <c r="E110" s="454"/>
      <c r="F110" s="241">
        <f>SUM(F107:F109)</f>
        <v>0.15000000000000002</v>
      </c>
      <c r="G110" s="455"/>
      <c r="H110" s="455"/>
      <c r="I110" s="455"/>
      <c r="J110" s="455"/>
      <c r="K110" s="242"/>
      <c r="L110" s="242"/>
      <c r="M110" s="243"/>
      <c r="N110" s="244"/>
      <c r="O110" s="258"/>
      <c r="P110" s="500">
        <f>SUM(P29:P109)</f>
        <v>0</v>
      </c>
      <c r="Q110" s="501"/>
      <c r="R110" s="169"/>
      <c r="S110" s="211"/>
      <c r="T110" s="212"/>
      <c r="U110" s="220"/>
      <c r="V110" s="219">
        <f>SUM(V107:V109)</f>
        <v>0.14488777840623296</v>
      </c>
      <c r="W110" s="172"/>
      <c r="X110" s="209"/>
    </row>
    <row r="111" spans="1:25" s="205" customFormat="1" x14ac:dyDescent="0.2">
      <c r="A111" s="210"/>
      <c r="B111" s="245"/>
      <c r="C111" s="245"/>
      <c r="D111" s="245"/>
      <c r="E111" s="245"/>
      <c r="F111" s="245"/>
      <c r="G111" s="245"/>
      <c r="H111" s="245"/>
      <c r="I111" s="245"/>
      <c r="J111" s="246"/>
      <c r="K111" s="246"/>
      <c r="L111" s="173"/>
      <c r="M111" s="173"/>
      <c r="N111" s="245"/>
      <c r="O111" s="245"/>
      <c r="P111" s="247"/>
      <c r="Q111" s="247"/>
      <c r="R111" s="173"/>
      <c r="S111" s="232"/>
      <c r="T111" s="91"/>
      <c r="U111" s="91"/>
      <c r="V111" s="233"/>
      <c r="W111" s="234"/>
      <c r="X111" s="209"/>
    </row>
    <row r="112" spans="1:25" s="205" customFormat="1" ht="30.75" customHeight="1" x14ac:dyDescent="0.2">
      <c r="B112" s="414" t="s">
        <v>33</v>
      </c>
      <c r="C112" s="415"/>
      <c r="D112" s="415"/>
      <c r="E112" s="416"/>
      <c r="F112" s="297">
        <f>+F110+F104+F86+F68+F29</f>
        <v>1.0000000000000002</v>
      </c>
      <c r="G112" s="417"/>
      <c r="H112" s="417"/>
      <c r="I112" s="417"/>
      <c r="J112" s="417"/>
      <c r="K112" s="418" t="s">
        <v>33</v>
      </c>
      <c r="L112" s="418"/>
      <c r="M112" s="418"/>
      <c r="N112" s="418"/>
      <c r="O112" s="296">
        <f>+N104+N86+N68+N29</f>
        <v>3943000000</v>
      </c>
      <c r="P112" s="488">
        <f>+O104+O86+O68+O29</f>
        <v>5838334217</v>
      </c>
      <c r="Q112" s="488"/>
      <c r="R112" s="169"/>
      <c r="S112" s="211"/>
      <c r="T112" s="186">
        <f>+T104+T86+T68+T29</f>
        <v>3877741371</v>
      </c>
      <c r="U112" s="186">
        <f>+U104+U86+U68+U29</f>
        <v>4903505886</v>
      </c>
      <c r="V112" s="295">
        <f>+V110+V104+V86+V68+V29</f>
        <v>0.88539050567896038</v>
      </c>
      <c r="W112" s="172"/>
      <c r="X112" s="248"/>
      <c r="Y112" s="249"/>
    </row>
    <row r="113" spans="1:25" s="8" customFormat="1" ht="35.25" x14ac:dyDescent="0.2">
      <c r="A113" s="4"/>
      <c r="B113" s="110"/>
      <c r="C113" s="118"/>
      <c r="D113" s="118"/>
      <c r="E113" s="119"/>
      <c r="F113" s="106"/>
      <c r="G113" s="106"/>
      <c r="H113" s="106"/>
      <c r="I113" s="106"/>
      <c r="J113" s="106"/>
      <c r="K113" s="106"/>
      <c r="L113" s="106"/>
      <c r="M113" s="106"/>
      <c r="N113" s="92"/>
      <c r="O113" s="62"/>
      <c r="P113" s="162"/>
      <c r="Q113" s="63"/>
      <c r="R113" s="96"/>
      <c r="S113" s="112"/>
      <c r="T113" s="273"/>
      <c r="U113" s="10"/>
      <c r="V113" s="113"/>
      <c r="W113" s="114"/>
      <c r="X113" s="90"/>
      <c r="Y113" s="64"/>
    </row>
    <row r="114" spans="1:25" s="8" customFormat="1" ht="35.25" customHeight="1" x14ac:dyDescent="0.2">
      <c r="A114" s="4"/>
      <c r="B114" s="489" t="s">
        <v>108</v>
      </c>
      <c r="C114" s="490"/>
      <c r="D114" s="490"/>
      <c r="E114" s="490"/>
      <c r="F114" s="491"/>
      <c r="G114" s="120"/>
      <c r="H114" s="121" t="s">
        <v>311</v>
      </c>
      <c r="I114" s="122"/>
      <c r="J114" s="93"/>
      <c r="K114" s="123"/>
      <c r="L114" s="124"/>
      <c r="M114" s="125" t="s">
        <v>128</v>
      </c>
      <c r="N114" s="93"/>
      <c r="O114" s="93"/>
      <c r="P114" s="66"/>
      <c r="Q114" s="65"/>
      <c r="R114" s="276"/>
      <c r="S114" s="276"/>
      <c r="T114" s="276"/>
      <c r="U114" s="276"/>
      <c r="V114" s="276"/>
      <c r="W114" s="276"/>
      <c r="X114" s="33"/>
      <c r="Y114" s="61"/>
    </row>
    <row r="115" spans="1:25" s="8" customFormat="1" ht="15.75" x14ac:dyDescent="0.2">
      <c r="A115" s="4"/>
      <c r="B115" s="126"/>
      <c r="C115" s="127"/>
      <c r="D115" s="127"/>
      <c r="E115" s="127"/>
      <c r="F115" s="128"/>
      <c r="G115" s="129"/>
      <c r="H115" s="130"/>
      <c r="I115" s="129"/>
      <c r="J115" s="131"/>
      <c r="K115" s="132"/>
      <c r="L115" s="133"/>
      <c r="M115" s="134"/>
      <c r="N115" s="65"/>
      <c r="O115" s="65"/>
      <c r="P115" s="67"/>
      <c r="Q115" s="65"/>
      <c r="R115" s="133"/>
      <c r="S115" s="271"/>
      <c r="T115" s="480"/>
      <c r="U115" s="480"/>
      <c r="V115" s="135"/>
      <c r="W115" s="131"/>
      <c r="X115" s="76"/>
      <c r="Y115" s="4"/>
    </row>
    <row r="116" spans="1:25" s="8" customFormat="1" ht="15.75" x14ac:dyDescent="0.2">
      <c r="A116" s="4"/>
      <c r="B116" s="136" t="s">
        <v>106</v>
      </c>
      <c r="C116" s="137"/>
      <c r="D116" s="137"/>
      <c r="E116" s="137"/>
      <c r="F116" s="138"/>
      <c r="G116" s="137"/>
      <c r="H116" s="136" t="s">
        <v>106</v>
      </c>
      <c r="I116" s="129"/>
      <c r="J116" s="139"/>
      <c r="K116" s="132"/>
      <c r="L116" s="133"/>
      <c r="M116" s="140" t="s">
        <v>106</v>
      </c>
      <c r="N116" s="65"/>
      <c r="O116" s="65"/>
      <c r="P116" s="67"/>
      <c r="Q116" s="65"/>
      <c r="R116" s="141"/>
      <c r="S116" s="142"/>
      <c r="T116" s="143"/>
      <c r="U116" s="143"/>
      <c r="V116" s="144"/>
      <c r="W116" s="145"/>
      <c r="X116" s="76"/>
      <c r="Y116" s="4"/>
    </row>
    <row r="117" spans="1:25" s="8" customFormat="1" ht="58.5" customHeight="1" x14ac:dyDescent="0.2">
      <c r="A117" s="4"/>
      <c r="B117" s="126" t="s">
        <v>107</v>
      </c>
      <c r="C117" s="129"/>
      <c r="D117" s="492" t="s">
        <v>358</v>
      </c>
      <c r="E117" s="492"/>
      <c r="F117" s="493"/>
      <c r="G117" s="120"/>
      <c r="H117" s="136" t="s">
        <v>107</v>
      </c>
      <c r="I117" s="496" t="s">
        <v>359</v>
      </c>
      <c r="J117" s="496"/>
      <c r="K117" s="497"/>
      <c r="L117" s="146"/>
      <c r="M117" s="140" t="s">
        <v>107</v>
      </c>
      <c r="N117" s="464" t="s">
        <v>360</v>
      </c>
      <c r="O117" s="464"/>
      <c r="P117" s="465"/>
      <c r="Q117" s="124"/>
      <c r="R117" s="147"/>
      <c r="S117" s="277"/>
      <c r="T117" s="143"/>
      <c r="U117" s="143"/>
      <c r="V117" s="143"/>
      <c r="W117" s="145"/>
      <c r="X117" s="76"/>
      <c r="Y117" s="4"/>
    </row>
    <row r="118" spans="1:25" s="8" customFormat="1" ht="36.75" customHeight="1" x14ac:dyDescent="0.2">
      <c r="A118" s="4"/>
      <c r="B118" s="126" t="s">
        <v>106</v>
      </c>
      <c r="C118" s="148"/>
      <c r="D118" s="148"/>
      <c r="E118" s="149"/>
      <c r="F118" s="128"/>
      <c r="G118" s="129"/>
      <c r="H118" s="130" t="s">
        <v>312</v>
      </c>
      <c r="I118" s="129"/>
      <c r="J118" s="139"/>
      <c r="K118" s="132"/>
      <c r="L118" s="133"/>
      <c r="M118" s="140" t="s">
        <v>106</v>
      </c>
      <c r="N118" s="94"/>
      <c r="O118" s="65"/>
      <c r="P118" s="67"/>
      <c r="Q118" s="65"/>
      <c r="R118" s="147"/>
      <c r="S118" s="143"/>
      <c r="T118" s="143"/>
      <c r="U118" s="143"/>
      <c r="V118" s="143"/>
      <c r="W118" s="143"/>
      <c r="X118" s="76"/>
      <c r="Y118" s="4"/>
    </row>
    <row r="119" spans="1:25" s="8" customFormat="1" ht="64.5" customHeight="1" x14ac:dyDescent="0.2">
      <c r="A119" s="4"/>
      <c r="B119" s="150" t="s">
        <v>107</v>
      </c>
      <c r="C119" s="151"/>
      <c r="D119" s="494" t="s">
        <v>361</v>
      </c>
      <c r="E119" s="494"/>
      <c r="F119" s="495"/>
      <c r="G119" s="120"/>
      <c r="H119" s="152" t="s">
        <v>107</v>
      </c>
      <c r="I119" s="469" t="s">
        <v>362</v>
      </c>
      <c r="J119" s="469"/>
      <c r="K119" s="470"/>
      <c r="L119" s="137"/>
      <c r="M119" s="153" t="s">
        <v>107</v>
      </c>
      <c r="N119" s="469" t="s">
        <v>363</v>
      </c>
      <c r="O119" s="469"/>
      <c r="P119" s="470"/>
      <c r="Q119" s="137"/>
      <c r="R119" s="141"/>
      <c r="S119" s="154"/>
      <c r="T119" s="155"/>
      <c r="U119" s="155"/>
      <c r="V119" s="156"/>
      <c r="W119" s="143"/>
      <c r="X119" s="76"/>
      <c r="Y119" s="4"/>
    </row>
    <row r="120" spans="1:25" s="8" customFormat="1" ht="18" hidden="1" customHeight="1" x14ac:dyDescent="0.2">
      <c r="B120" s="411"/>
      <c r="C120" s="411"/>
      <c r="D120" s="411"/>
      <c r="E120" s="411"/>
      <c r="F120" s="411"/>
      <c r="G120" s="411"/>
      <c r="H120" s="411"/>
      <c r="I120" s="411"/>
      <c r="J120" s="412"/>
      <c r="K120" s="412"/>
      <c r="L120" s="157"/>
      <c r="M120" s="411"/>
      <c r="N120" s="411"/>
      <c r="O120" s="411"/>
      <c r="P120" s="411"/>
      <c r="Q120" s="413"/>
      <c r="R120" s="158" t="s">
        <v>107</v>
      </c>
      <c r="S120" s="481"/>
      <c r="T120" s="481"/>
      <c r="U120" s="481"/>
      <c r="V120" s="481"/>
      <c r="W120" s="159"/>
      <c r="X120" s="75"/>
    </row>
    <row r="121" spans="1:25" ht="15" hidden="1" customHeight="1" x14ac:dyDescent="0.2">
      <c r="R121" s="97"/>
      <c r="S121" s="98"/>
      <c r="T121" s="99"/>
    </row>
    <row r="122" spans="1:25" x14ac:dyDescent="0.2">
      <c r="N122" s="43"/>
      <c r="R122" s="97"/>
      <c r="S122" s="160"/>
      <c r="T122" s="99"/>
    </row>
    <row r="123" spans="1:25" x14ac:dyDescent="0.2">
      <c r="N123" s="43"/>
      <c r="R123" s="97"/>
      <c r="S123" s="161"/>
      <c r="T123" s="99"/>
    </row>
  </sheetData>
  <sheetProtection formatCells="0" formatRows="0" insertRows="0" deleteRows="0"/>
  <mergeCells count="312">
    <mergeCell ref="T31:T39"/>
    <mergeCell ref="T54:T55"/>
    <mergeCell ref="P41:Q41"/>
    <mergeCell ref="P42:Q42"/>
    <mergeCell ref="P46:Q46"/>
    <mergeCell ref="P61:Q61"/>
    <mergeCell ref="P62:Q62"/>
    <mergeCell ref="P64:Q65"/>
    <mergeCell ref="P53:Q53"/>
    <mergeCell ref="P49:Q49"/>
    <mergeCell ref="P44:Q44"/>
    <mergeCell ref="P104:Q104"/>
    <mergeCell ref="P101:Q101"/>
    <mergeCell ref="P102:Q102"/>
    <mergeCell ref="P103:Q103"/>
    <mergeCell ref="U54:U55"/>
    <mergeCell ref="P73:Q73"/>
    <mergeCell ref="P68:Q68"/>
    <mergeCell ref="R68:S68"/>
    <mergeCell ref="P77:Q77"/>
    <mergeCell ref="P67:Q67"/>
    <mergeCell ref="P66:Q66"/>
    <mergeCell ref="P54:Q55"/>
    <mergeCell ref="T115:U115"/>
    <mergeCell ref="S120:V120"/>
    <mergeCell ref="H4:T4"/>
    <mergeCell ref="B6:W6"/>
    <mergeCell ref="L7:W7"/>
    <mergeCell ref="L8:W8"/>
    <mergeCell ref="L9:W9"/>
    <mergeCell ref="L10:W10"/>
    <mergeCell ref="L11:W11"/>
    <mergeCell ref="L12:W12"/>
    <mergeCell ref="B15:W15"/>
    <mergeCell ref="B30:W30"/>
    <mergeCell ref="B87:W87"/>
    <mergeCell ref="B69:W69"/>
    <mergeCell ref="P112:Q112"/>
    <mergeCell ref="B114:F114"/>
    <mergeCell ref="D117:F117"/>
    <mergeCell ref="D119:F119"/>
    <mergeCell ref="I117:K117"/>
    <mergeCell ref="I119:K119"/>
    <mergeCell ref="P29:Q29"/>
    <mergeCell ref="S26:S28"/>
    <mergeCell ref="T26:T28"/>
    <mergeCell ref="P110:Q110"/>
    <mergeCell ref="N119:P119"/>
    <mergeCell ref="P76:Q76"/>
    <mergeCell ref="G100:I100"/>
    <mergeCell ref="G101:I101"/>
    <mergeCell ref="V2:W2"/>
    <mergeCell ref="V3:W3"/>
    <mergeCell ref="V4:W4"/>
    <mergeCell ref="R14:W14"/>
    <mergeCell ref="R16:R17"/>
    <mergeCell ref="S16:S17"/>
    <mergeCell ref="T16:T17"/>
    <mergeCell ref="U16:U17"/>
    <mergeCell ref="V16:V17"/>
    <mergeCell ref="W16:W17"/>
    <mergeCell ref="H2:T3"/>
    <mergeCell ref="U26:U28"/>
    <mergeCell ref="V26:V28"/>
    <mergeCell ref="W26:W28"/>
    <mergeCell ref="G40:I40"/>
    <mergeCell ref="P40:Q40"/>
    <mergeCell ref="W31:W37"/>
    <mergeCell ref="P31:Q39"/>
    <mergeCell ref="P100:Q100"/>
    <mergeCell ref="U31:U39"/>
    <mergeCell ref="R26:R28"/>
    <mergeCell ref="N31:N39"/>
    <mergeCell ref="N117:P117"/>
    <mergeCell ref="P109:Q109"/>
    <mergeCell ref="P86:Q86"/>
    <mergeCell ref="G90:I90"/>
    <mergeCell ref="G89:I89"/>
    <mergeCell ref="G107:I107"/>
    <mergeCell ref="P74:Q74"/>
    <mergeCell ref="P75:Q75"/>
    <mergeCell ref="P107:Q107"/>
    <mergeCell ref="G102:I102"/>
    <mergeCell ref="G84:I84"/>
    <mergeCell ref="P88:Q88"/>
    <mergeCell ref="P98:Q98"/>
    <mergeCell ref="P96:Q96"/>
    <mergeCell ref="G104:J104"/>
    <mergeCell ref="G91:I91"/>
    <mergeCell ref="G86:I86"/>
    <mergeCell ref="B106:W106"/>
    <mergeCell ref="P97:Q97"/>
    <mergeCell ref="P99:Q99"/>
    <mergeCell ref="G81:I81"/>
    <mergeCell ref="G77:I77"/>
    <mergeCell ref="B110:E110"/>
    <mergeCell ref="G110:J110"/>
    <mergeCell ref="B68:E68"/>
    <mergeCell ref="G68:J68"/>
    <mergeCell ref="G78:I78"/>
    <mergeCell ref="P78:Q78"/>
    <mergeCell ref="G79:I79"/>
    <mergeCell ref="P79:Q79"/>
    <mergeCell ref="C80:E85"/>
    <mergeCell ref="L80:L85"/>
    <mergeCell ref="M80:M85"/>
    <mergeCell ref="P95:Q95"/>
    <mergeCell ref="M107:M109"/>
    <mergeCell ref="G108:I108"/>
    <mergeCell ref="G109:I109"/>
    <mergeCell ref="P89:Q89"/>
    <mergeCell ref="P90:Q90"/>
    <mergeCell ref="P91:Q91"/>
    <mergeCell ref="P92:Q92"/>
    <mergeCell ref="P93:Q93"/>
    <mergeCell ref="P94:Q94"/>
    <mergeCell ref="B104:E104"/>
    <mergeCell ref="P108:Q108"/>
    <mergeCell ref="G93:I93"/>
    <mergeCell ref="B10:D10"/>
    <mergeCell ref="I7:K7"/>
    <mergeCell ref="I8:K8"/>
    <mergeCell ref="I9:K9"/>
    <mergeCell ref="B26:B28"/>
    <mergeCell ref="G92:I92"/>
    <mergeCell ref="P85:Q85"/>
    <mergeCell ref="B9:D9"/>
    <mergeCell ref="M52:M53"/>
    <mergeCell ref="P52:Q52"/>
    <mergeCell ref="P26:Q28"/>
    <mergeCell ref="G43:I43"/>
    <mergeCell ref="P43:Q43"/>
    <mergeCell ref="G44:I44"/>
    <mergeCell ref="P51:Q51"/>
    <mergeCell ref="C42:E47"/>
    <mergeCell ref="G47:I47"/>
    <mergeCell ref="P47:Q47"/>
    <mergeCell ref="G32:I32"/>
    <mergeCell ref="G31:I31"/>
    <mergeCell ref="G41:I41"/>
    <mergeCell ref="G42:I42"/>
    <mergeCell ref="C18:E22"/>
    <mergeCell ref="B86:E86"/>
    <mergeCell ref="B2:G4"/>
    <mergeCell ref="B16:B17"/>
    <mergeCell ref="G16:I17"/>
    <mergeCell ref="P16:Q17"/>
    <mergeCell ref="B14:Q14"/>
    <mergeCell ref="J16:K16"/>
    <mergeCell ref="L16:L17"/>
    <mergeCell ref="M16:M17"/>
    <mergeCell ref="N16:O16"/>
    <mergeCell ref="C16:E17"/>
    <mergeCell ref="F16:F17"/>
    <mergeCell ref="I10:K10"/>
    <mergeCell ref="I11:K11"/>
    <mergeCell ref="I12:K12"/>
    <mergeCell ref="B11:D11"/>
    <mergeCell ref="E7:H7"/>
    <mergeCell ref="E8:H8"/>
    <mergeCell ref="E9:H9"/>
    <mergeCell ref="E10:H10"/>
    <mergeCell ref="E11:H11"/>
    <mergeCell ref="E12:H12"/>
    <mergeCell ref="B7:D7"/>
    <mergeCell ref="B8:D8"/>
    <mergeCell ref="B12:D12"/>
    <mergeCell ref="B120:I120"/>
    <mergeCell ref="J120:K120"/>
    <mergeCell ref="M120:Q120"/>
    <mergeCell ref="B112:E112"/>
    <mergeCell ref="G112:J112"/>
    <mergeCell ref="K112:N112"/>
    <mergeCell ref="N59:N60"/>
    <mergeCell ref="P59:Q60"/>
    <mergeCell ref="P71:Q71"/>
    <mergeCell ref="P81:Q81"/>
    <mergeCell ref="P84:Q84"/>
    <mergeCell ref="P72:Q72"/>
    <mergeCell ref="P80:Q80"/>
    <mergeCell ref="P82:Q82"/>
    <mergeCell ref="P83:Q83"/>
    <mergeCell ref="G82:I82"/>
    <mergeCell ref="G83:I83"/>
    <mergeCell ref="C63:E63"/>
    <mergeCell ref="G96:I96"/>
    <mergeCell ref="G97:I97"/>
    <mergeCell ref="G98:I98"/>
    <mergeCell ref="G99:I99"/>
    <mergeCell ref="L107:L109"/>
    <mergeCell ref="C107:E109"/>
    <mergeCell ref="C70:E71"/>
    <mergeCell ref="C72:E79"/>
    <mergeCell ref="G85:I85"/>
    <mergeCell ref="G29:M29"/>
    <mergeCell ref="G80:I80"/>
    <mergeCell ref="C61:E62"/>
    <mergeCell ref="C56:E56"/>
    <mergeCell ref="C57:E57"/>
    <mergeCell ref="C50:E51"/>
    <mergeCell ref="C58:E58"/>
    <mergeCell ref="C41:E41"/>
    <mergeCell ref="C59:E60"/>
    <mergeCell ref="C49:E49"/>
    <mergeCell ref="G46:I46"/>
    <mergeCell ref="G49:I49"/>
    <mergeCell ref="G38:I38"/>
    <mergeCell ref="G45:I45"/>
    <mergeCell ref="L42:L46"/>
    <mergeCell ref="M42:M46"/>
    <mergeCell ref="G48:I48"/>
    <mergeCell ref="G73:I73"/>
    <mergeCell ref="G33:I33"/>
    <mergeCell ref="G75:I75"/>
    <mergeCell ref="G35:I35"/>
    <mergeCell ref="G18:I18"/>
    <mergeCell ref="L18:L22"/>
    <mergeCell ref="M18:M22"/>
    <mergeCell ref="P18:Q18"/>
    <mergeCell ref="G19:I19"/>
    <mergeCell ref="P19:Q19"/>
    <mergeCell ref="G20:I20"/>
    <mergeCell ref="P20:Q20"/>
    <mergeCell ref="G21:I21"/>
    <mergeCell ref="G22:I22"/>
    <mergeCell ref="P21:Q25"/>
    <mergeCell ref="N21:N25"/>
    <mergeCell ref="C26:E28"/>
    <mergeCell ref="F26:F28"/>
    <mergeCell ref="G26:I28"/>
    <mergeCell ref="B29:E29"/>
    <mergeCell ref="J26:J28"/>
    <mergeCell ref="C48:E48"/>
    <mergeCell ref="C52:E53"/>
    <mergeCell ref="C31:E40"/>
    <mergeCell ref="G34:I34"/>
    <mergeCell ref="G39:I39"/>
    <mergeCell ref="L31:L38"/>
    <mergeCell ref="M31:M38"/>
    <mergeCell ref="P45:Q45"/>
    <mergeCell ref="P48:Q48"/>
    <mergeCell ref="O31:O39"/>
    <mergeCell ref="G37:I37"/>
    <mergeCell ref="G36:I36"/>
    <mergeCell ref="K26:K28"/>
    <mergeCell ref="N26:N28"/>
    <mergeCell ref="O26:O28"/>
    <mergeCell ref="G95:I95"/>
    <mergeCell ref="G65:I65"/>
    <mergeCell ref="G57:I57"/>
    <mergeCell ref="G58:I58"/>
    <mergeCell ref="G76:I76"/>
    <mergeCell ref="G51:I51"/>
    <mergeCell ref="G60:I60"/>
    <mergeCell ref="G63:I63"/>
    <mergeCell ref="G66:I66"/>
    <mergeCell ref="G64:I64"/>
    <mergeCell ref="G62:I62"/>
    <mergeCell ref="G56:I56"/>
    <mergeCell ref="G52:I52"/>
    <mergeCell ref="G53:I53"/>
    <mergeCell ref="G72:I72"/>
    <mergeCell ref="G74:I74"/>
    <mergeCell ref="G70:I71"/>
    <mergeCell ref="X54:X55"/>
    <mergeCell ref="U64:U65"/>
    <mergeCell ref="T64:T65"/>
    <mergeCell ref="C96:E103"/>
    <mergeCell ref="C54:E55"/>
    <mergeCell ref="G54:I54"/>
    <mergeCell ref="L54:L55"/>
    <mergeCell ref="M54:M55"/>
    <mergeCell ref="G55:I55"/>
    <mergeCell ref="G88:I88"/>
    <mergeCell ref="G103:I103"/>
    <mergeCell ref="G61:I61"/>
    <mergeCell ref="L56:L58"/>
    <mergeCell ref="M56:M58"/>
    <mergeCell ref="C88:E95"/>
    <mergeCell ref="G67:I67"/>
    <mergeCell ref="L70:L71"/>
    <mergeCell ref="G94:I94"/>
    <mergeCell ref="C67:E67"/>
    <mergeCell ref="C66:E66"/>
    <mergeCell ref="P70:Q70"/>
    <mergeCell ref="M70:M71"/>
    <mergeCell ref="L72:L79"/>
    <mergeCell ref="M72:M79"/>
    <mergeCell ref="T21:T25"/>
    <mergeCell ref="C64:E65"/>
    <mergeCell ref="G59:I59"/>
    <mergeCell ref="G50:I50"/>
    <mergeCell ref="O64:O65"/>
    <mergeCell ref="P63:Q63"/>
    <mergeCell ref="P57:Q57"/>
    <mergeCell ref="P56:Q56"/>
    <mergeCell ref="O54:O55"/>
    <mergeCell ref="L50:L51"/>
    <mergeCell ref="M50:M51"/>
    <mergeCell ref="L52:L53"/>
    <mergeCell ref="P58:Q58"/>
    <mergeCell ref="O59:O60"/>
    <mergeCell ref="N64:N65"/>
    <mergeCell ref="P50:Q50"/>
    <mergeCell ref="C23:E25"/>
    <mergeCell ref="G23:I23"/>
    <mergeCell ref="L23:L25"/>
    <mergeCell ref="M23:M25"/>
    <mergeCell ref="G24:I24"/>
    <mergeCell ref="G25:I25"/>
    <mergeCell ref="O21:O25"/>
    <mergeCell ref="N54:N55"/>
  </mergeCells>
  <printOptions horizontalCentered="1"/>
  <pageMargins left="0.39370078740157483" right="0.39370078740157483" top="0.39370078740157483" bottom="0.78740157480314965" header="0" footer="0"/>
  <pageSetup paperSize="14" scale="35" orientation="landscape" horizontalDpi="4294967294" verticalDpi="4294967294" r:id="rId1"/>
  <headerFooter alignWithMargins="0"/>
  <rowBreaks count="7" manualBreakCount="7">
    <brk id="21" max="22" man="1"/>
    <brk id="29" max="22" man="1"/>
    <brk id="44" max="22" man="1"/>
    <brk id="55" max="22" man="1"/>
    <brk id="62" max="22" man="1"/>
    <brk id="74" max="22" man="1"/>
    <brk id="97" max="22" man="1"/>
  </rowBreaks>
  <ignoredErrors>
    <ignoredError sqref="O108 U108 N104:Q104 T104 Q112 P110 N18:N20 N45 O43 F44" unlockedFormula="1"/>
  </ignoredErrors>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[1]listas!#REF!</xm:f>
          </x14:formula1>
          <xm:sqref>S120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9"/>
  <sheetViews>
    <sheetView workbookViewId="0">
      <selection activeCell="D6" sqref="D6"/>
    </sheetView>
  </sheetViews>
  <sheetFormatPr baseColWidth="10" defaultRowHeight="12.75" x14ac:dyDescent="0.2"/>
  <cols>
    <col min="1" max="1" width="32.140625" style="167" customWidth="1"/>
    <col min="2" max="2" width="15.42578125" style="165" bestFit="1" customWidth="1"/>
    <col min="3" max="3" width="17.140625" style="165" bestFit="1" customWidth="1"/>
    <col min="4" max="4" width="17.140625" style="165" customWidth="1"/>
    <col min="5" max="5" width="16.28515625" style="165" customWidth="1"/>
    <col min="6" max="6" width="13.85546875" style="165" customWidth="1"/>
    <col min="7" max="7" width="17.7109375" style="165" customWidth="1"/>
    <col min="8" max="8" width="11.42578125" style="165"/>
  </cols>
  <sheetData>
    <row r="2" spans="1:7" s="163" customFormat="1" ht="38.25" x14ac:dyDescent="0.2">
      <c r="A2" s="163" t="s">
        <v>391</v>
      </c>
      <c r="B2" s="163" t="s">
        <v>392</v>
      </c>
      <c r="C2" s="163" t="s">
        <v>393</v>
      </c>
      <c r="D2" s="163" t="s">
        <v>392</v>
      </c>
      <c r="E2" s="163" t="s">
        <v>398</v>
      </c>
      <c r="F2" s="163" t="s">
        <v>392</v>
      </c>
      <c r="G2" s="163" t="s">
        <v>397</v>
      </c>
    </row>
    <row r="3" spans="1:7" ht="28.5" customHeight="1" x14ac:dyDescent="0.2">
      <c r="A3" s="166" t="s">
        <v>394</v>
      </c>
      <c r="B3" s="164">
        <v>464281333</v>
      </c>
      <c r="C3" s="164">
        <v>461766833</v>
      </c>
      <c r="D3" s="164"/>
      <c r="E3" s="164"/>
      <c r="F3" s="164"/>
      <c r="G3" s="164"/>
    </row>
    <row r="4" spans="1:7" ht="30" customHeight="1" x14ac:dyDescent="0.2">
      <c r="A4" s="166" t="s">
        <v>395</v>
      </c>
      <c r="B4" s="164"/>
      <c r="C4" s="164"/>
      <c r="D4" s="164"/>
      <c r="E4" s="164"/>
      <c r="F4" s="164"/>
      <c r="G4" s="164"/>
    </row>
    <row r="5" spans="1:7" ht="38.25" x14ac:dyDescent="0.2">
      <c r="A5" s="114" t="s">
        <v>181</v>
      </c>
      <c r="B5" s="164">
        <v>70000000</v>
      </c>
      <c r="C5" s="164">
        <v>70000000</v>
      </c>
      <c r="D5" s="164">
        <v>620448000</v>
      </c>
      <c r="E5" s="164">
        <v>620448000</v>
      </c>
      <c r="F5" s="164"/>
      <c r="G5" s="164"/>
    </row>
    <row r="6" spans="1:7" ht="51" customHeight="1" x14ac:dyDescent="0.2">
      <c r="A6" s="114" t="s">
        <v>396</v>
      </c>
      <c r="B6" s="164"/>
      <c r="C6" s="164"/>
      <c r="D6" s="164">
        <f>52644000+26322000</f>
        <v>78966000</v>
      </c>
      <c r="E6" s="164">
        <f>52644000+26322000</f>
        <v>78966000</v>
      </c>
      <c r="F6" s="164"/>
      <c r="G6" s="164"/>
    </row>
    <row r="7" spans="1:7" ht="50.25" customHeight="1" x14ac:dyDescent="0.2">
      <c r="A7" s="114" t="s">
        <v>265</v>
      </c>
      <c r="B7" s="164">
        <f>48150000+25680000+502287333+477000000+57000000</f>
        <v>1110117333</v>
      </c>
      <c r="C7" s="164"/>
      <c r="D7" s="164">
        <f>700000000+514852700+229339000+84000000</f>
        <v>1528191700</v>
      </c>
      <c r="E7" s="164">
        <f>103400000+70620000+55319000</f>
        <v>229339000</v>
      </c>
      <c r="F7" s="164">
        <v>250000000</v>
      </c>
      <c r="G7" s="164"/>
    </row>
    <row r="8" spans="1:7" x14ac:dyDescent="0.2">
      <c r="B8" s="164"/>
      <c r="C8" s="164"/>
      <c r="D8" s="164"/>
      <c r="E8" s="164"/>
      <c r="F8" s="164"/>
      <c r="G8" s="164"/>
    </row>
    <row r="9" spans="1:7" x14ac:dyDescent="0.2">
      <c r="B9" s="164"/>
      <c r="C9" s="164"/>
      <c r="D9" s="164"/>
      <c r="E9" s="164"/>
      <c r="F9" s="164"/>
      <c r="G9" s="164"/>
    </row>
    <row r="10" spans="1:7" x14ac:dyDescent="0.2">
      <c r="B10" s="164"/>
      <c r="C10" s="164"/>
      <c r="D10" s="164"/>
      <c r="E10" s="164"/>
      <c r="F10" s="164"/>
      <c r="G10" s="164"/>
    </row>
    <row r="11" spans="1:7" x14ac:dyDescent="0.2">
      <c r="B11" s="164"/>
      <c r="C11" s="164"/>
      <c r="D11" s="164"/>
      <c r="E11" s="164"/>
      <c r="F11" s="164"/>
      <c r="G11" s="164"/>
    </row>
    <row r="12" spans="1:7" x14ac:dyDescent="0.2">
      <c r="B12" s="164"/>
      <c r="C12" s="164"/>
      <c r="D12" s="164"/>
      <c r="E12" s="164"/>
      <c r="F12" s="164"/>
      <c r="G12" s="164"/>
    </row>
    <row r="13" spans="1:7" x14ac:dyDescent="0.2">
      <c r="B13" s="164"/>
      <c r="C13" s="164"/>
      <c r="D13" s="164"/>
      <c r="E13" s="164"/>
      <c r="F13" s="164"/>
      <c r="G13" s="164"/>
    </row>
    <row r="14" spans="1:7" x14ac:dyDescent="0.2">
      <c r="B14" s="164"/>
      <c r="C14" s="164"/>
      <c r="D14" s="164"/>
      <c r="E14" s="164"/>
      <c r="F14" s="164"/>
      <c r="G14" s="164"/>
    </row>
    <row r="15" spans="1:7" x14ac:dyDescent="0.2">
      <c r="B15" s="164"/>
      <c r="C15" s="164"/>
      <c r="D15" s="164"/>
      <c r="E15" s="164"/>
      <c r="F15" s="164"/>
      <c r="G15" s="164"/>
    </row>
    <row r="16" spans="1:7" x14ac:dyDescent="0.2">
      <c r="B16" s="164"/>
      <c r="C16" s="164"/>
      <c r="D16" s="164"/>
      <c r="E16" s="164"/>
      <c r="F16" s="164"/>
      <c r="G16" s="164"/>
    </row>
    <row r="17" spans="2:7" x14ac:dyDescent="0.2">
      <c r="B17" s="164"/>
      <c r="C17" s="164"/>
      <c r="D17" s="164"/>
      <c r="E17" s="164"/>
      <c r="F17" s="164"/>
      <c r="G17" s="164"/>
    </row>
    <row r="18" spans="2:7" x14ac:dyDescent="0.2">
      <c r="B18" s="164"/>
      <c r="C18" s="164"/>
      <c r="D18" s="164"/>
      <c r="E18" s="164"/>
      <c r="F18" s="164"/>
      <c r="G18" s="164"/>
    </row>
    <row r="19" spans="2:7" x14ac:dyDescent="0.2">
      <c r="B19" s="164"/>
      <c r="C19" s="164"/>
      <c r="D19" s="164"/>
      <c r="E19" s="164"/>
      <c r="F19" s="164"/>
      <c r="G19" s="164"/>
    </row>
    <row r="20" spans="2:7" x14ac:dyDescent="0.2">
      <c r="B20" s="164"/>
      <c r="C20" s="164"/>
      <c r="D20" s="164"/>
      <c r="E20" s="164"/>
      <c r="F20" s="164"/>
      <c r="G20" s="164"/>
    </row>
    <row r="21" spans="2:7" x14ac:dyDescent="0.2">
      <c r="B21" s="164"/>
      <c r="C21" s="164"/>
      <c r="D21" s="164"/>
      <c r="E21" s="164"/>
      <c r="F21" s="164"/>
      <c r="G21" s="164"/>
    </row>
    <row r="22" spans="2:7" x14ac:dyDescent="0.2">
      <c r="B22" s="164"/>
      <c r="C22" s="164"/>
      <c r="D22" s="164"/>
      <c r="E22" s="164"/>
      <c r="F22" s="164"/>
      <c r="G22" s="164"/>
    </row>
    <row r="23" spans="2:7" x14ac:dyDescent="0.2">
      <c r="B23" s="164"/>
      <c r="C23" s="164"/>
      <c r="D23" s="164"/>
      <c r="E23" s="164"/>
      <c r="F23" s="164"/>
      <c r="G23" s="164"/>
    </row>
    <row r="24" spans="2:7" x14ac:dyDescent="0.2">
      <c r="B24" s="164"/>
      <c r="C24" s="164"/>
      <c r="D24" s="164"/>
      <c r="E24" s="164"/>
      <c r="F24" s="164"/>
      <c r="G24" s="164"/>
    </row>
    <row r="25" spans="2:7" x14ac:dyDescent="0.2">
      <c r="B25" s="164"/>
      <c r="C25" s="164"/>
      <c r="D25" s="164"/>
      <c r="E25" s="164"/>
      <c r="F25" s="164"/>
      <c r="G25" s="164"/>
    </row>
    <row r="26" spans="2:7" x14ac:dyDescent="0.2">
      <c r="B26" s="164"/>
      <c r="C26" s="164"/>
      <c r="D26" s="164"/>
      <c r="E26" s="164"/>
      <c r="F26" s="164"/>
      <c r="G26" s="164"/>
    </row>
    <row r="27" spans="2:7" x14ac:dyDescent="0.2">
      <c r="B27" s="164"/>
      <c r="C27" s="164"/>
      <c r="D27" s="164"/>
      <c r="E27" s="164"/>
      <c r="F27" s="164"/>
      <c r="G27" s="164"/>
    </row>
    <row r="28" spans="2:7" x14ac:dyDescent="0.2">
      <c r="B28" s="164"/>
      <c r="C28" s="164"/>
      <c r="D28" s="164"/>
      <c r="E28" s="164"/>
      <c r="F28" s="164"/>
      <c r="G28" s="164"/>
    </row>
    <row r="29" spans="2:7" x14ac:dyDescent="0.2">
      <c r="B29" s="164"/>
      <c r="C29" s="164"/>
      <c r="D29" s="164"/>
      <c r="E29" s="164"/>
      <c r="F29" s="164"/>
      <c r="G29" s="164"/>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B75"/>
  <sheetViews>
    <sheetView topLeftCell="A29" workbookViewId="0">
      <selection activeCell="B32" sqref="B32:B36"/>
    </sheetView>
  </sheetViews>
  <sheetFormatPr baseColWidth="10" defaultRowHeight="12.75" x14ac:dyDescent="0.2"/>
  <cols>
    <col min="1" max="1" width="4" customWidth="1"/>
    <col min="2" max="2" width="70.140625" bestFit="1" customWidth="1"/>
  </cols>
  <sheetData>
    <row r="5" spans="2:2" x14ac:dyDescent="0.2">
      <c r="B5" s="10" t="s">
        <v>34</v>
      </c>
    </row>
    <row r="6" spans="2:2" x14ac:dyDescent="0.2">
      <c r="B6" s="29" t="s">
        <v>73</v>
      </c>
    </row>
    <row r="7" spans="2:2" x14ac:dyDescent="0.2">
      <c r="B7" s="11" t="s">
        <v>35</v>
      </c>
    </row>
    <row r="8" spans="2:2" x14ac:dyDescent="0.2">
      <c r="B8" s="12" t="s">
        <v>36</v>
      </c>
    </row>
    <row r="9" spans="2:2" x14ac:dyDescent="0.2">
      <c r="B9" s="12" t="s">
        <v>37</v>
      </c>
    </row>
    <row r="10" spans="2:2" x14ac:dyDescent="0.2">
      <c r="B10" s="11" t="s">
        <v>38</v>
      </c>
    </row>
    <row r="11" spans="2:2" x14ac:dyDescent="0.2">
      <c r="B11" s="10" t="s">
        <v>39</v>
      </c>
    </row>
    <row r="12" spans="2:2" x14ac:dyDescent="0.2">
      <c r="B12" s="12" t="s">
        <v>40</v>
      </c>
    </row>
    <row r="13" spans="2:2" x14ac:dyDescent="0.2">
      <c r="B13" s="11" t="s">
        <v>41</v>
      </c>
    </row>
    <row r="14" spans="2:2" x14ac:dyDescent="0.2">
      <c r="B14" s="10" t="s">
        <v>42</v>
      </c>
    </row>
    <row r="15" spans="2:2" x14ac:dyDescent="0.2">
      <c r="B15" s="12" t="s">
        <v>43</v>
      </c>
    </row>
    <row r="16" spans="2:2" x14ac:dyDescent="0.2">
      <c r="B16" s="11" t="s">
        <v>44</v>
      </c>
    </row>
    <row r="17" spans="2:2" x14ac:dyDescent="0.2">
      <c r="B17" s="10" t="s">
        <v>45</v>
      </c>
    </row>
    <row r="18" spans="2:2" x14ac:dyDescent="0.2">
      <c r="B18" s="13" t="s">
        <v>46</v>
      </c>
    </row>
    <row r="19" spans="2:2" x14ac:dyDescent="0.2">
      <c r="B19" s="13" t="s">
        <v>47</v>
      </c>
    </row>
    <row r="20" spans="2:2" ht="25.5" x14ac:dyDescent="0.2">
      <c r="B20" s="14" t="s">
        <v>48</v>
      </c>
    </row>
    <row r="22" spans="2:2" x14ac:dyDescent="0.2">
      <c r="B22" s="16" t="s">
        <v>50</v>
      </c>
    </row>
    <row r="23" spans="2:2" x14ac:dyDescent="0.2">
      <c r="B23" s="15" t="s">
        <v>51</v>
      </c>
    </row>
    <row r="25" spans="2:2" x14ac:dyDescent="0.2">
      <c r="B25" s="16" t="s">
        <v>54</v>
      </c>
    </row>
    <row r="26" spans="2:2" x14ac:dyDescent="0.2">
      <c r="B26" s="17">
        <v>2016</v>
      </c>
    </row>
    <row r="27" spans="2:2" x14ac:dyDescent="0.2">
      <c r="B27" s="17">
        <v>2017</v>
      </c>
    </row>
    <row r="28" spans="2:2" x14ac:dyDescent="0.2">
      <c r="B28" s="17">
        <v>2018</v>
      </c>
    </row>
    <row r="29" spans="2:2" x14ac:dyDescent="0.2">
      <c r="B29" s="17">
        <v>2019</v>
      </c>
    </row>
    <row r="30" spans="2:2" x14ac:dyDescent="0.2">
      <c r="B30" s="17">
        <v>2020</v>
      </c>
    </row>
    <row r="32" spans="2:2" ht="24.75" customHeight="1" x14ac:dyDescent="0.2">
      <c r="B32" s="18" t="s">
        <v>55</v>
      </c>
    </row>
    <row r="33" spans="2:2" ht="22.5" x14ac:dyDescent="0.2">
      <c r="B33" s="19" t="s">
        <v>56</v>
      </c>
    </row>
    <row r="34" spans="2:2" ht="22.5" x14ac:dyDescent="0.2">
      <c r="B34" s="20" t="s">
        <v>57</v>
      </c>
    </row>
    <row r="35" spans="2:2" ht="22.5" x14ac:dyDescent="0.2">
      <c r="B35" s="21" t="s">
        <v>58</v>
      </c>
    </row>
    <row r="36" spans="2:2" ht="22.5" x14ac:dyDescent="0.2">
      <c r="B36" s="18" t="s">
        <v>59</v>
      </c>
    </row>
    <row r="37" spans="2:2" x14ac:dyDescent="0.2">
      <c r="B37" s="18" t="s">
        <v>60</v>
      </c>
    </row>
    <row r="38" spans="2:2" x14ac:dyDescent="0.2">
      <c r="B38" s="22" t="s">
        <v>61</v>
      </c>
    </row>
    <row r="39" spans="2:2" ht="22.5" x14ac:dyDescent="0.2">
      <c r="B39" s="18" t="s">
        <v>62</v>
      </c>
    </row>
    <row r="40" spans="2:2" ht="54.75" customHeight="1" x14ac:dyDescent="0.2">
      <c r="B40" s="23" t="s">
        <v>63</v>
      </c>
    </row>
    <row r="41" spans="2:2" ht="45" x14ac:dyDescent="0.2">
      <c r="B41" s="20" t="s">
        <v>64</v>
      </c>
    </row>
    <row r="42" spans="2:2" ht="22.5" x14ac:dyDescent="0.2">
      <c r="B42" s="24" t="s">
        <v>65</v>
      </c>
    </row>
    <row r="43" spans="2:2" ht="22.5" x14ac:dyDescent="0.2">
      <c r="B43" s="20" t="s">
        <v>66</v>
      </c>
    </row>
    <row r="44" spans="2:2" x14ac:dyDescent="0.2">
      <c r="B44" s="24" t="s">
        <v>67</v>
      </c>
    </row>
    <row r="45" spans="2:2" ht="22.5" x14ac:dyDescent="0.2">
      <c r="B45" s="25" t="s">
        <v>68</v>
      </c>
    </row>
    <row r="46" spans="2:2" ht="22.5" x14ac:dyDescent="0.2">
      <c r="B46" s="26" t="s">
        <v>69</v>
      </c>
    </row>
    <row r="47" spans="2:2" ht="22.5" x14ac:dyDescent="0.2">
      <c r="B47" s="27" t="s">
        <v>70</v>
      </c>
    </row>
    <row r="48" spans="2:2" x14ac:dyDescent="0.2">
      <c r="B48" s="28" t="s">
        <v>71</v>
      </c>
    </row>
    <row r="49" spans="2:2" ht="22.5" x14ac:dyDescent="0.2">
      <c r="B49" s="22" t="s">
        <v>72</v>
      </c>
    </row>
    <row r="53" spans="2:2" x14ac:dyDescent="0.2">
      <c r="B53" s="10" t="s">
        <v>82</v>
      </c>
    </row>
    <row r="54" spans="2:2" x14ac:dyDescent="0.2">
      <c r="B54" s="10" t="s">
        <v>74</v>
      </c>
    </row>
    <row r="55" spans="2:2" x14ac:dyDescent="0.2">
      <c r="B55" s="10" t="s">
        <v>75</v>
      </c>
    </row>
    <row r="56" spans="2:2" x14ac:dyDescent="0.2">
      <c r="B56" s="10" t="s">
        <v>76</v>
      </c>
    </row>
    <row r="57" spans="2:2" x14ac:dyDescent="0.2">
      <c r="B57" s="10" t="s">
        <v>77</v>
      </c>
    </row>
    <row r="58" spans="2:2" x14ac:dyDescent="0.2">
      <c r="B58" s="10" t="s">
        <v>78</v>
      </c>
    </row>
    <row r="59" spans="2:2" x14ac:dyDescent="0.2">
      <c r="B59" s="10" t="s">
        <v>79</v>
      </c>
    </row>
    <row r="60" spans="2:2" x14ac:dyDescent="0.2">
      <c r="B60" s="10" t="s">
        <v>80</v>
      </c>
    </row>
    <row r="61" spans="2:2" x14ac:dyDescent="0.2">
      <c r="B61" s="10" t="s">
        <v>81</v>
      </c>
    </row>
    <row r="63" spans="2:2" ht="25.5" x14ac:dyDescent="0.2">
      <c r="B63" s="30" t="s">
        <v>115</v>
      </c>
    </row>
    <row r="64" spans="2:2" ht="25.5" x14ac:dyDescent="0.2">
      <c r="B64" s="30" t="s">
        <v>114</v>
      </c>
    </row>
    <row r="65" spans="2:2" ht="38.25" x14ac:dyDescent="0.2">
      <c r="B65" s="30" t="s">
        <v>116</v>
      </c>
    </row>
    <row r="66" spans="2:2" ht="25.5" x14ac:dyDescent="0.2">
      <c r="B66" s="30" t="s">
        <v>117</v>
      </c>
    </row>
    <row r="67" spans="2:2" ht="25.5" x14ac:dyDescent="0.2">
      <c r="B67" s="30" t="s">
        <v>118</v>
      </c>
    </row>
    <row r="68" spans="2:2" ht="25.5" x14ac:dyDescent="0.2">
      <c r="B68" s="30" t="s">
        <v>119</v>
      </c>
    </row>
    <row r="69" spans="2:2" ht="25.5" x14ac:dyDescent="0.2">
      <c r="B69" s="30" t="s">
        <v>120</v>
      </c>
    </row>
    <row r="72" spans="2:2" ht="25.5" x14ac:dyDescent="0.2">
      <c r="B72" s="30" t="s">
        <v>121</v>
      </c>
    </row>
    <row r="73" spans="2:2" ht="25.5" x14ac:dyDescent="0.2">
      <c r="B73" s="30" t="s">
        <v>122</v>
      </c>
    </row>
    <row r="74" spans="2:2" ht="25.5" x14ac:dyDescent="0.2">
      <c r="B74" s="30" t="s">
        <v>123</v>
      </c>
    </row>
    <row r="75" spans="2:2" ht="25.5" x14ac:dyDescent="0.2">
      <c r="B75" s="30" t="s">
        <v>124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5</vt:i4>
      </vt:variant>
    </vt:vector>
  </HeadingPairs>
  <TitlesOfParts>
    <vt:vector size="10" baseType="lpstr">
      <vt:lpstr>INSTRUCTIVO</vt:lpstr>
      <vt:lpstr>01. Plan de accion SARECC (2)</vt:lpstr>
      <vt:lpstr>01. Plan de accion SARECC</vt:lpstr>
      <vt:lpstr>Hoja1</vt:lpstr>
      <vt:lpstr>listas</vt:lpstr>
      <vt:lpstr>'01. Plan de accion SARECC'!Área_de_impresión</vt:lpstr>
      <vt:lpstr>'01. Plan de accion SARECC (2)'!Área_de_impresión</vt:lpstr>
      <vt:lpstr>INSTRUCTIVO!Área_de_impresión</vt:lpstr>
      <vt:lpstr>'01. Plan de accion SARECC'!Títulos_a_imprimir</vt:lpstr>
      <vt:lpstr>'01. Plan de accion SARECC (2)'!Títulos_a_imprimir</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Leonardo Millan Alvarado</dc:creator>
  <cp:lastModifiedBy>Andrea Gabriela Linares Basto</cp:lastModifiedBy>
  <cp:lastPrinted>2018-01-18T17:12:48Z</cp:lastPrinted>
  <dcterms:created xsi:type="dcterms:W3CDTF">2016-06-16T13:03:17Z</dcterms:created>
  <dcterms:modified xsi:type="dcterms:W3CDTF">2020-02-20T21:09:24Z</dcterms:modified>
</cp:coreProperties>
</file>